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https://multistatetaxcommission-my.sharepoint.com/personal/heh_mtc_gov/Documents/Documents/1 - UNIFORMITY (&amp; SUB FOLDERS)/A - Partnership/"/>
    </mc:Choice>
  </mc:AlternateContent>
  <xr:revisionPtr revIDLastSave="0" documentId="8_{DD2B1743-78C4-4CB4-AF7F-C627B299459F}" xr6:coauthVersionLast="47" xr6:coauthVersionMax="47" xr10:uidLastSave="{00000000-0000-0000-0000-000000000000}"/>
  <bookViews>
    <workbookView xWindow="230" yWindow="620" windowWidth="11960" windowHeight="10040" tabRatio="845" activeTab="2" xr2:uid="{F6BA85C6-6992-45B8-88FE-BF7CC8ED5A08}"/>
  </bookViews>
  <sheets>
    <sheet name="Factor Baseline Method" sheetId="14" r:id="rId1"/>
    <sheet name="Chart" sheetId="13" r:id="rId2"/>
    <sheet name="All Blended" sheetId="1" r:id="rId3"/>
    <sheet name="Bld-Sep Comparison" sheetId="15" r:id="rId4"/>
    <sheet name="Separate Sourcing" sheetId="19"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89" i="19" l="1"/>
  <c r="C71" i="19" l="1"/>
  <c r="C34" i="19"/>
  <c r="K104" i="19"/>
  <c r="S175" i="19"/>
  <c r="L105" i="19"/>
  <c r="O105" i="19"/>
  <c r="C67" i="19" l="1"/>
  <c r="R19" i="1" l="1"/>
  <c r="W23" i="19" l="1"/>
  <c r="W24" i="19"/>
  <c r="K16" i="19"/>
  <c r="M9" i="19"/>
  <c r="F43" i="19"/>
  <c r="C30" i="19"/>
  <c r="G9" i="19"/>
  <c r="D9" i="19"/>
  <c r="F42" i="1"/>
  <c r="C63" i="1"/>
  <c r="M9" i="1"/>
  <c r="G9" i="1"/>
  <c r="D9" i="1"/>
  <c r="D10" i="1" s="1"/>
  <c r="C49" i="1"/>
  <c r="U52" i="1"/>
  <c r="K16" i="1"/>
  <c r="C16" i="1"/>
  <c r="U55" i="1"/>
  <c r="M66" i="1"/>
  <c r="K18" i="14"/>
  <c r="V183" i="19" l="1"/>
  <c r="V178" i="19"/>
  <c r="R182" i="19"/>
  <c r="R177" i="19"/>
  <c r="R141" i="19"/>
  <c r="R142" i="19"/>
  <c r="R143" i="19"/>
  <c r="R140" i="19"/>
  <c r="R25" i="19"/>
  <c r="R26" i="19"/>
  <c r="R27" i="19"/>
  <c r="R28" i="19"/>
  <c r="R127" i="19"/>
  <c r="R130" i="19"/>
  <c r="R129" i="19"/>
  <c r="R128" i="19"/>
  <c r="U103" i="19"/>
  <c r="K75" i="19" l="1"/>
  <c r="K76" i="19"/>
  <c r="K79" i="19"/>
  <c r="K80" i="19"/>
  <c r="M81" i="19"/>
  <c r="M110" i="19" s="1"/>
  <c r="M56" i="19"/>
  <c r="M55" i="19"/>
  <c r="C50" i="19"/>
  <c r="C16" i="19"/>
  <c r="C8" i="19"/>
  <c r="M69" i="19"/>
  <c r="C31" i="19" l="1"/>
  <c r="K33" i="19" s="1"/>
  <c r="C18" i="19"/>
  <c r="J93" i="19"/>
  <c r="J92" i="19"/>
  <c r="J91" i="19"/>
  <c r="J90" i="19"/>
  <c r="R121" i="19"/>
  <c r="R120" i="19"/>
  <c r="R119" i="19"/>
  <c r="R118" i="19"/>
  <c r="M84" i="19"/>
  <c r="L84" i="19"/>
  <c r="M83" i="19"/>
  <c r="L83" i="19"/>
  <c r="U106" i="19"/>
  <c r="U105" i="19"/>
  <c r="M78" i="19"/>
  <c r="M100" i="19" s="1"/>
  <c r="M105" i="19" s="1"/>
  <c r="K77" i="19"/>
  <c r="K78" i="19" s="1"/>
  <c r="K100" i="19" s="1"/>
  <c r="S102" i="19"/>
  <c r="S101" i="19"/>
  <c r="K83" i="19"/>
  <c r="U100" i="19"/>
  <c r="U104" i="19" s="1"/>
  <c r="S99" i="19"/>
  <c r="S98" i="19"/>
  <c r="S97" i="19"/>
  <c r="F44" i="19"/>
  <c r="F60" i="19" s="1"/>
  <c r="C42" i="19"/>
  <c r="C41" i="19"/>
  <c r="K46" i="19" s="1"/>
  <c r="S142" i="19" s="1"/>
  <c r="C40" i="19"/>
  <c r="C39" i="19"/>
  <c r="U14" i="19"/>
  <c r="T14" i="19"/>
  <c r="U13" i="19"/>
  <c r="T13" i="19"/>
  <c r="S9" i="19"/>
  <c r="S11" i="19" s="1"/>
  <c r="M10" i="19"/>
  <c r="M54" i="19" s="1"/>
  <c r="G10" i="19"/>
  <c r="G23" i="19" s="1"/>
  <c r="G26" i="19" s="1"/>
  <c r="D10" i="19"/>
  <c r="D23" i="19" s="1"/>
  <c r="D26" i="19" s="1"/>
  <c r="K8" i="19"/>
  <c r="K7" i="19"/>
  <c r="C7" i="19"/>
  <c r="K32" i="19" s="1"/>
  <c r="K62" i="19" s="1"/>
  <c r="K6" i="19"/>
  <c r="C6" i="19"/>
  <c r="C29" i="19" s="1"/>
  <c r="S5" i="19"/>
  <c r="K5" i="19"/>
  <c r="C5" i="19"/>
  <c r="C66" i="19" l="1"/>
  <c r="K45" i="19" s="1"/>
  <c r="S141" i="19" s="1"/>
  <c r="C9" i="19"/>
  <c r="C17" i="19" s="1"/>
  <c r="C19" i="19" s="1"/>
  <c r="C28" i="19"/>
  <c r="S25" i="19" s="1"/>
  <c r="C43" i="19"/>
  <c r="C51" i="19" s="1"/>
  <c r="C65" i="19"/>
  <c r="K44" i="19" s="1"/>
  <c r="S140" i="19" s="1"/>
  <c r="K63" i="19"/>
  <c r="K18" i="19"/>
  <c r="F63" i="19"/>
  <c r="S129" i="19"/>
  <c r="S51" i="19"/>
  <c r="S52" i="19"/>
  <c r="S130" i="19"/>
  <c r="S42" i="19"/>
  <c r="M57" i="19"/>
  <c r="C68" i="19"/>
  <c r="K47" i="19" s="1"/>
  <c r="S143" i="19" s="1"/>
  <c r="C52" i="19"/>
  <c r="M82" i="19"/>
  <c r="K81" i="19"/>
  <c r="S14" i="19"/>
  <c r="S13" i="19"/>
  <c r="S8" i="19"/>
  <c r="S103" i="19"/>
  <c r="K84" i="19"/>
  <c r="S100" i="19"/>
  <c r="S105" i="19"/>
  <c r="S28" i="19"/>
  <c r="S27" i="19"/>
  <c r="S106" i="19"/>
  <c r="K91" i="19"/>
  <c r="K102" i="19" s="1"/>
  <c r="K9" i="19"/>
  <c r="K92" i="19"/>
  <c r="K103" i="19" s="1"/>
  <c r="K90" i="19" l="1"/>
  <c r="K101" i="19" s="1"/>
  <c r="C10" i="19"/>
  <c r="C23" i="19" s="1"/>
  <c r="G27" i="19" s="1"/>
  <c r="G29" i="19" s="1"/>
  <c r="K17" i="19"/>
  <c r="K19" i="19" s="1"/>
  <c r="C32" i="19"/>
  <c r="K30" i="19"/>
  <c r="K60" i="19" s="1"/>
  <c r="S118" i="19" s="1"/>
  <c r="S144" i="19"/>
  <c r="S12" i="19"/>
  <c r="S120" i="19"/>
  <c r="C69" i="19"/>
  <c r="K49" i="19"/>
  <c r="K93" i="19"/>
  <c r="K48" i="19"/>
  <c r="K31" i="19"/>
  <c r="K61" i="19" s="1"/>
  <c r="S26" i="19"/>
  <c r="S30" i="19" s="1"/>
  <c r="K82" i="19"/>
  <c r="C44" i="19"/>
  <c r="C60" i="19" s="1"/>
  <c r="F64" i="19" s="1"/>
  <c r="C53" i="19"/>
  <c r="K10" i="19"/>
  <c r="S104" i="19"/>
  <c r="S49" i="19" l="1"/>
  <c r="S127" i="19"/>
  <c r="K105" i="19"/>
  <c r="K106" i="19" s="1"/>
  <c r="K94" i="19"/>
  <c r="K110" i="19"/>
  <c r="K111" i="19" s="1"/>
  <c r="S40" i="19"/>
  <c r="G31" i="19"/>
  <c r="G28" i="19"/>
  <c r="D27" i="19"/>
  <c r="D30" i="19" s="1"/>
  <c r="G30" i="19"/>
  <c r="F68" i="19"/>
  <c r="N93" i="19" s="1"/>
  <c r="N110" i="19" s="1"/>
  <c r="N113" i="19" s="1"/>
  <c r="F67" i="19"/>
  <c r="N92" i="19" s="1"/>
  <c r="N103" i="19" s="1"/>
  <c r="F66" i="19"/>
  <c r="F65" i="19"/>
  <c r="N90" i="19" s="1"/>
  <c r="N101" i="19" s="1"/>
  <c r="K35" i="19"/>
  <c r="S128" i="19"/>
  <c r="S50" i="19"/>
  <c r="K64" i="19"/>
  <c r="S43" i="19"/>
  <c r="S121" i="19"/>
  <c r="S181" i="19" s="1"/>
  <c r="K95" i="19"/>
  <c r="K34" i="19"/>
  <c r="K65" i="19" s="1"/>
  <c r="S29" i="19"/>
  <c r="S84" i="19" s="1"/>
  <c r="S79" i="19" l="1"/>
  <c r="C70" i="19"/>
  <c r="K50" i="19" s="1"/>
  <c r="K114" i="19"/>
  <c r="G32" i="19"/>
  <c r="D29" i="19"/>
  <c r="L31" i="19" s="1"/>
  <c r="D31" i="19"/>
  <c r="T28" i="19" s="1"/>
  <c r="D28" i="19"/>
  <c r="F69" i="19"/>
  <c r="S182" i="19"/>
  <c r="S41" i="19"/>
  <c r="S45" i="19" s="1"/>
  <c r="S119" i="19"/>
  <c r="C33" i="19"/>
  <c r="N46" i="19"/>
  <c r="N47" i="19"/>
  <c r="O30" i="19"/>
  <c r="O31" i="19"/>
  <c r="O32" i="19"/>
  <c r="W27" i="19"/>
  <c r="L32" i="19"/>
  <c r="N45" i="19"/>
  <c r="N91" i="19"/>
  <c r="N102" i="19" s="1"/>
  <c r="K36" i="19" l="1"/>
  <c r="S31" i="19"/>
  <c r="N105" i="19"/>
  <c r="N108" i="19" s="1"/>
  <c r="K109" i="19" s="1"/>
  <c r="K96" i="19"/>
  <c r="N89" i="19" s="1"/>
  <c r="L27" i="19"/>
  <c r="O29" i="19"/>
  <c r="O27" i="19"/>
  <c r="L28" i="19"/>
  <c r="L55" i="19" s="1"/>
  <c r="L29" i="19"/>
  <c r="L56" i="19" s="1"/>
  <c r="O28" i="19"/>
  <c r="D32" i="19"/>
  <c r="V64" i="19"/>
  <c r="V143" i="19"/>
  <c r="V142" i="19"/>
  <c r="V63" i="19"/>
  <c r="V141" i="19"/>
  <c r="V62" i="19"/>
  <c r="W128" i="19"/>
  <c r="W50" i="19"/>
  <c r="T50" i="19"/>
  <c r="T128" i="19"/>
  <c r="T51" i="19"/>
  <c r="T129" i="19"/>
  <c r="W51" i="19"/>
  <c r="W129" i="19"/>
  <c r="W127" i="19"/>
  <c r="W49" i="19"/>
  <c r="S174" i="19"/>
  <c r="S123" i="19"/>
  <c r="S122" i="19"/>
  <c r="S163" i="19" s="1"/>
  <c r="S44" i="19"/>
  <c r="L30" i="19"/>
  <c r="T25" i="19"/>
  <c r="N44" i="19"/>
  <c r="W25" i="19"/>
  <c r="W26" i="19"/>
  <c r="L33" i="19"/>
  <c r="T26" i="19"/>
  <c r="O33" i="19"/>
  <c r="W28" i="19"/>
  <c r="T27" i="19"/>
  <c r="N42" i="19" l="1"/>
  <c r="K42" i="19" s="1"/>
  <c r="N43" i="19"/>
  <c r="K43" i="19" s="1"/>
  <c r="N41" i="19"/>
  <c r="K41" i="19" s="1"/>
  <c r="W22" i="19"/>
  <c r="T23" i="19"/>
  <c r="T24" i="19"/>
  <c r="T22" i="19"/>
  <c r="K27" i="19"/>
  <c r="K29" i="19"/>
  <c r="K28" i="19"/>
  <c r="S85" i="19"/>
  <c r="V61" i="19"/>
  <c r="S61" i="19" s="1"/>
  <c r="V140" i="19"/>
  <c r="N115" i="19"/>
  <c r="M115" i="19"/>
  <c r="W130" i="19"/>
  <c r="W52" i="19"/>
  <c r="W53" i="19" s="1"/>
  <c r="W86" i="19" s="1"/>
  <c r="T52" i="19"/>
  <c r="T130" i="19"/>
  <c r="T127" i="19"/>
  <c r="T49" i="19"/>
  <c r="S159" i="19"/>
  <c r="S64" i="19"/>
  <c r="S173" i="19"/>
  <c r="K59" i="19"/>
  <c r="O34" i="19"/>
  <c r="O69" i="19" s="1"/>
  <c r="N48" i="19"/>
  <c r="N69" i="19" s="1"/>
  <c r="O55" i="19"/>
  <c r="N54" i="19"/>
  <c r="S62" i="19"/>
  <c r="S63" i="19"/>
  <c r="L54" i="19"/>
  <c r="L34" i="19"/>
  <c r="L65" i="19" s="1"/>
  <c r="N94" i="19"/>
  <c r="W29" i="19"/>
  <c r="W84" i="19" s="1"/>
  <c r="T29" i="19"/>
  <c r="T84" i="19" s="1"/>
  <c r="S22" i="19" l="1"/>
  <c r="S24" i="19"/>
  <c r="S23" i="19"/>
  <c r="S46" i="19"/>
  <c r="S124" i="19"/>
  <c r="U115" i="19" s="1"/>
  <c r="W131" i="19"/>
  <c r="W164" i="19" s="1"/>
  <c r="S160" i="19"/>
  <c r="S82" i="19"/>
  <c r="S81" i="19"/>
  <c r="S80" i="19"/>
  <c r="O65" i="19"/>
  <c r="S65" i="19"/>
  <c r="S87" i="19" s="1"/>
  <c r="V65" i="19"/>
  <c r="V87" i="19" s="1"/>
  <c r="T131" i="19"/>
  <c r="T164" i="19" s="1"/>
  <c r="S161" i="19"/>
  <c r="T53" i="19"/>
  <c r="T86" i="19" s="1"/>
  <c r="N67" i="19"/>
  <c r="K67" i="19" s="1"/>
  <c r="V144" i="19"/>
  <c r="V165" i="19" s="1"/>
  <c r="N55" i="19"/>
  <c r="O56" i="19"/>
  <c r="O54" i="19"/>
  <c r="N56" i="19"/>
  <c r="L69" i="19"/>
  <c r="N57" i="19" l="1"/>
  <c r="S172" i="19"/>
  <c r="S176" i="19" s="1"/>
  <c r="S53" i="19"/>
  <c r="S131" i="19"/>
  <c r="S164" i="19" s="1"/>
  <c r="S158" i="19"/>
  <c r="S66" i="19"/>
  <c r="S54" i="19"/>
  <c r="S165" i="19"/>
  <c r="S145" i="19"/>
  <c r="S132" i="19"/>
  <c r="O57" i="19"/>
  <c r="T37" i="19"/>
  <c r="T117" i="19"/>
  <c r="T115" i="19"/>
  <c r="K55" i="19"/>
  <c r="S116" i="19" s="1"/>
  <c r="K56" i="19"/>
  <c r="S117" i="19" s="1"/>
  <c r="K54" i="19"/>
  <c r="K69" i="19"/>
  <c r="L57" i="19"/>
  <c r="U37" i="19"/>
  <c r="U74" i="19" s="1"/>
  <c r="T39" i="19"/>
  <c r="U39" i="19"/>
  <c r="U76" i="19" s="1"/>
  <c r="T38" i="19"/>
  <c r="U38" i="19"/>
  <c r="U75" i="19" s="1"/>
  <c r="T116" i="19"/>
  <c r="W117" i="19"/>
  <c r="W115" i="19"/>
  <c r="W37" i="19"/>
  <c r="W39" i="19"/>
  <c r="V115" i="19"/>
  <c r="U116" i="19"/>
  <c r="U154" i="19" s="1"/>
  <c r="V116" i="19"/>
  <c r="W116" i="19"/>
  <c r="U117" i="19"/>
  <c r="U155" i="19" s="1"/>
  <c r="V117" i="19"/>
  <c r="V37" i="19"/>
  <c r="V38" i="19"/>
  <c r="V39" i="19"/>
  <c r="W38" i="19"/>
  <c r="K115" i="19"/>
  <c r="S86" i="19" l="1"/>
  <c r="S83" i="19"/>
  <c r="K68" i="19"/>
  <c r="S67" i="19" s="1"/>
  <c r="S115" i="19"/>
  <c r="M58" i="19"/>
  <c r="L58" i="19"/>
  <c r="N58" i="19"/>
  <c r="N64" i="19" s="1"/>
  <c r="S177" i="19"/>
  <c r="K66" i="19"/>
  <c r="S55" i="19" s="1"/>
  <c r="S162" i="19"/>
  <c r="U153" i="19"/>
  <c r="S37" i="19"/>
  <c r="U77" i="19"/>
  <c r="O58" i="19"/>
  <c r="O64" i="19" s="1"/>
  <c r="S38" i="19"/>
  <c r="S39" i="19"/>
  <c r="L64" i="19" l="1"/>
  <c r="L62" i="19"/>
  <c r="T42" i="19" s="1"/>
  <c r="L60" i="19"/>
  <c r="T40" i="19" s="1"/>
  <c r="L63" i="19"/>
  <c r="T121" i="19" s="1"/>
  <c r="L61" i="19"/>
  <c r="T41" i="19" s="1"/>
  <c r="M64" i="19"/>
  <c r="M61" i="19"/>
  <c r="U41" i="19" s="1"/>
  <c r="M63" i="19"/>
  <c r="U43" i="19" s="1"/>
  <c r="M62" i="19"/>
  <c r="U42" i="19" s="1"/>
  <c r="M60" i="19"/>
  <c r="U118" i="19" s="1"/>
  <c r="S133" i="19"/>
  <c r="S134" i="19" s="1"/>
  <c r="V69" i="19"/>
  <c r="V75" i="19" s="1"/>
  <c r="S146" i="19"/>
  <c r="S56" i="19"/>
  <c r="S74" i="19" s="1"/>
  <c r="W56" i="19"/>
  <c r="W74" i="19" s="1"/>
  <c r="W58" i="19"/>
  <c r="W76" i="19" s="1"/>
  <c r="S57" i="19"/>
  <c r="S75" i="19" s="1"/>
  <c r="W57" i="19"/>
  <c r="W75" i="19" s="1"/>
  <c r="S58" i="19"/>
  <c r="S76" i="19" s="1"/>
  <c r="T56" i="19"/>
  <c r="T74" i="19" s="1"/>
  <c r="T57" i="19"/>
  <c r="T75" i="19" s="1"/>
  <c r="T58" i="19"/>
  <c r="T76" i="19" s="1"/>
  <c r="O60" i="19"/>
  <c r="W40" i="19" s="1"/>
  <c r="O62" i="19"/>
  <c r="W42" i="19" s="1"/>
  <c r="O63" i="19"/>
  <c r="W121" i="19" s="1"/>
  <c r="O61" i="19"/>
  <c r="W41" i="19" s="1"/>
  <c r="N60" i="19"/>
  <c r="V40" i="19" s="1"/>
  <c r="N61" i="19"/>
  <c r="V41" i="19" s="1"/>
  <c r="N62" i="19"/>
  <c r="V42" i="19" s="1"/>
  <c r="N63" i="19"/>
  <c r="V121" i="19" s="1"/>
  <c r="S147" i="19" l="1"/>
  <c r="V148" i="19"/>
  <c r="V154" i="19" s="1"/>
  <c r="V149" i="19"/>
  <c r="V155" i="19" s="1"/>
  <c r="V147" i="19"/>
  <c r="V153" i="19" s="1"/>
  <c r="V70" i="19"/>
  <c r="V76" i="19" s="1"/>
  <c r="S68" i="19"/>
  <c r="S70" i="19"/>
  <c r="S69" i="19"/>
  <c r="V68" i="19"/>
  <c r="V74" i="19" s="1"/>
  <c r="W134" i="19"/>
  <c r="W153" i="19" s="1"/>
  <c r="W136" i="19"/>
  <c r="W155" i="19" s="1"/>
  <c r="T135" i="19"/>
  <c r="T154" i="19" s="1"/>
  <c r="S135" i="19"/>
  <c r="S136" i="19"/>
  <c r="T136" i="19"/>
  <c r="T155" i="19" s="1"/>
  <c r="T134" i="19"/>
  <c r="T153" i="19" s="1"/>
  <c r="T77" i="19"/>
  <c r="W77" i="19"/>
  <c r="W135" i="19"/>
  <c r="W154" i="19" s="1"/>
  <c r="S153" i="19"/>
  <c r="S149" i="19"/>
  <c r="S148" i="19"/>
  <c r="T119" i="19"/>
  <c r="W43" i="19"/>
  <c r="W44" i="19" s="1"/>
  <c r="W119" i="19"/>
  <c r="W118" i="19"/>
  <c r="W120" i="19"/>
  <c r="V120" i="19"/>
  <c r="V119" i="19"/>
  <c r="V43" i="19"/>
  <c r="V44" i="19" s="1"/>
  <c r="V118" i="19"/>
  <c r="U121" i="19"/>
  <c r="U120" i="19"/>
  <c r="U40" i="19"/>
  <c r="U119" i="19"/>
  <c r="T43" i="19"/>
  <c r="T44" i="19" s="1"/>
  <c r="T85" i="19" s="1"/>
  <c r="T120" i="19"/>
  <c r="T118" i="19"/>
  <c r="S155" i="19" l="1"/>
  <c r="U78" i="19"/>
  <c r="U79" i="19" s="1"/>
  <c r="W78" i="19"/>
  <c r="W79" i="19" s="1"/>
  <c r="T78" i="19"/>
  <c r="T79" i="19" s="1"/>
  <c r="V77" i="19"/>
  <c r="S154" i="19"/>
  <c r="V85" i="19"/>
  <c r="V88" i="19" s="1"/>
  <c r="W85" i="19"/>
  <c r="W88" i="19" s="1"/>
  <c r="T88" i="19"/>
  <c r="U44" i="19"/>
  <c r="U85" i="19" s="1"/>
  <c r="W122" i="19"/>
  <c r="W163" i="19" s="1"/>
  <c r="W166" i="19" s="1"/>
  <c r="T122" i="19"/>
  <c r="T163" i="19" s="1"/>
  <c r="V122" i="19"/>
  <c r="V163" i="19" s="1"/>
  <c r="V166" i="19" s="1"/>
  <c r="U122" i="19"/>
  <c r="U163" i="19" s="1"/>
  <c r="V78" i="19" l="1"/>
  <c r="V83" i="19" s="1"/>
  <c r="T82" i="19"/>
  <c r="T80" i="19"/>
  <c r="U83" i="19"/>
  <c r="W81" i="19"/>
  <c r="U80" i="19"/>
  <c r="T83" i="19"/>
  <c r="T81" i="19"/>
  <c r="W83" i="19"/>
  <c r="W82" i="19"/>
  <c r="W80" i="19"/>
  <c r="U81" i="19"/>
  <c r="U82" i="19"/>
  <c r="S88" i="19"/>
  <c r="S90" i="19" s="1"/>
  <c r="T166" i="19"/>
  <c r="S166" i="19"/>
  <c r="S167" i="19" s="1"/>
  <c r="U166" i="19"/>
  <c r="V156" i="19"/>
  <c r="W156" i="19"/>
  <c r="W157" i="19" s="1"/>
  <c r="C5" i="1"/>
  <c r="G5" i="15"/>
  <c r="V90" i="19" l="1"/>
  <c r="V92" i="19" s="1"/>
  <c r="W90" i="19"/>
  <c r="W92" i="19" s="1"/>
  <c r="T90" i="19"/>
  <c r="T92" i="19" s="1"/>
  <c r="V82" i="19"/>
  <c r="V80" i="19"/>
  <c r="V79" i="19"/>
  <c r="V81" i="19"/>
  <c r="W161" i="19"/>
  <c r="W181" i="19" s="1"/>
  <c r="W184" i="19" s="1"/>
  <c r="V157" i="19"/>
  <c r="V158" i="19" s="1"/>
  <c r="V172" i="19" s="1"/>
  <c r="W160" i="19"/>
  <c r="W174" i="19" s="1"/>
  <c r="W162" i="19"/>
  <c r="W167" i="19" s="1"/>
  <c r="W159" i="19"/>
  <c r="W173" i="19" s="1"/>
  <c r="W158" i="19"/>
  <c r="W172" i="19" s="1"/>
  <c r="U88" i="19"/>
  <c r="T156" i="19"/>
  <c r="T157" i="19" s="1"/>
  <c r="U156" i="19"/>
  <c r="I6" i="15"/>
  <c r="I7" i="15"/>
  <c r="J7" i="15" s="1"/>
  <c r="N7" i="15" s="1"/>
  <c r="I8" i="15"/>
  <c r="I5" i="15"/>
  <c r="G6" i="15"/>
  <c r="G7" i="15"/>
  <c r="O7" i="15" s="1"/>
  <c r="G8" i="15"/>
  <c r="S5" i="1"/>
  <c r="S8" i="1" s="1"/>
  <c r="C8" i="1"/>
  <c r="K8" i="1"/>
  <c r="K18" i="1" s="1"/>
  <c r="U58" i="1"/>
  <c r="T58" i="1"/>
  <c r="U57" i="1"/>
  <c r="T57" i="1"/>
  <c r="S54" i="1"/>
  <c r="S53" i="1"/>
  <c r="D18" i="15" s="1"/>
  <c r="U56" i="1"/>
  <c r="S51" i="1"/>
  <c r="D17" i="15" s="1"/>
  <c r="S50" i="1"/>
  <c r="S49" i="1"/>
  <c r="K62" i="1"/>
  <c r="D12" i="15" s="1"/>
  <c r="N12" i="15" s="1"/>
  <c r="K61" i="1"/>
  <c r="L101" i="1"/>
  <c r="O101" i="1"/>
  <c r="O85" i="1"/>
  <c r="K65" i="1"/>
  <c r="K64" i="1"/>
  <c r="K60" i="1"/>
  <c r="M63" i="1"/>
  <c r="J76" i="1"/>
  <c r="G11" i="15" s="1"/>
  <c r="J77" i="1"/>
  <c r="G12" i="15" s="1"/>
  <c r="J78" i="1"/>
  <c r="G13" i="15" s="1"/>
  <c r="J75" i="1"/>
  <c r="G10" i="15" s="1"/>
  <c r="C39" i="1"/>
  <c r="C62" i="1" s="1"/>
  <c r="C40" i="1"/>
  <c r="C41" i="1"/>
  <c r="C51" i="1" s="1"/>
  <c r="C38" i="1"/>
  <c r="C28" i="1"/>
  <c r="C6" i="1"/>
  <c r="C7" i="1"/>
  <c r="K6" i="1"/>
  <c r="K7" i="1"/>
  <c r="K5" i="1"/>
  <c r="M69" i="1"/>
  <c r="M85" i="1" s="1"/>
  <c r="L69" i="1"/>
  <c r="L85" i="1" s="1"/>
  <c r="M68" i="1"/>
  <c r="L68" i="1"/>
  <c r="F43" i="1"/>
  <c r="F59" i="1" s="1"/>
  <c r="O28" i="15" s="1"/>
  <c r="R69" i="1"/>
  <c r="I18" i="15" s="1"/>
  <c r="R68" i="1"/>
  <c r="I17" i="15" s="1"/>
  <c r="J17" i="15" s="1"/>
  <c r="R67" i="1"/>
  <c r="I16" i="15" s="1"/>
  <c r="R66" i="1"/>
  <c r="R20" i="1"/>
  <c r="E6" i="15" s="1"/>
  <c r="R21" i="1"/>
  <c r="E7" i="15" s="1"/>
  <c r="R22" i="1"/>
  <c r="E8" i="15" s="1"/>
  <c r="S16" i="14"/>
  <c r="P16" i="14"/>
  <c r="K21" i="14"/>
  <c r="S18" i="14"/>
  <c r="P18" i="14"/>
  <c r="K14" i="14"/>
  <c r="K11" i="14"/>
  <c r="K8" i="14"/>
  <c r="W176" i="19" l="1"/>
  <c r="U90" i="19"/>
  <c r="U92" i="19" s="1"/>
  <c r="S92" i="19" s="1"/>
  <c r="D10" i="15"/>
  <c r="N10" i="15" s="1"/>
  <c r="C9" i="1"/>
  <c r="C10" i="1" s="1"/>
  <c r="V159" i="19"/>
  <c r="V173" i="19" s="1"/>
  <c r="V161" i="19"/>
  <c r="V181" i="19" s="1"/>
  <c r="V184" i="19" s="1"/>
  <c r="V162" i="19"/>
  <c r="V167" i="19" s="1"/>
  <c r="U157" i="19"/>
  <c r="U158" i="19" s="1"/>
  <c r="U172" i="19" s="1"/>
  <c r="V160" i="19"/>
  <c r="V174" i="19" s="1"/>
  <c r="V176" i="19" s="1"/>
  <c r="J5" i="15"/>
  <c r="K9" i="1"/>
  <c r="K17" i="1" s="1"/>
  <c r="J8" i="15"/>
  <c r="J16" i="15"/>
  <c r="N16" i="15" s="1"/>
  <c r="N17" i="15"/>
  <c r="I15" i="15"/>
  <c r="J15" i="15" s="1"/>
  <c r="G15" i="15"/>
  <c r="E5" i="15"/>
  <c r="H6" i="15"/>
  <c r="J6" i="15"/>
  <c r="N6" i="15" s="1"/>
  <c r="J18" i="15"/>
  <c r="D15" i="15"/>
  <c r="S57" i="1"/>
  <c r="G16" i="15"/>
  <c r="H16" i="15" s="1"/>
  <c r="E16" i="15"/>
  <c r="D13" i="15"/>
  <c r="N13" i="15" s="1"/>
  <c r="S55" i="1"/>
  <c r="E18" i="15"/>
  <c r="G18" i="15"/>
  <c r="E15" i="15"/>
  <c r="E17" i="15"/>
  <c r="F17" i="15" s="1"/>
  <c r="G17" i="15"/>
  <c r="H17" i="15" s="1"/>
  <c r="S52" i="1"/>
  <c r="S78" i="1" s="1"/>
  <c r="S58" i="1"/>
  <c r="U18" i="14"/>
  <c r="U16" i="14"/>
  <c r="T160" i="19"/>
  <c r="T174" i="19" s="1"/>
  <c r="T162" i="19"/>
  <c r="T167" i="19" s="1"/>
  <c r="T159" i="19"/>
  <c r="T173" i="19" s="1"/>
  <c r="T161" i="19"/>
  <c r="T181" i="19" s="1"/>
  <c r="T184" i="19" s="1"/>
  <c r="T158" i="19"/>
  <c r="T172" i="19" s="1"/>
  <c r="K38" i="1"/>
  <c r="O12" i="15"/>
  <c r="K27" i="1"/>
  <c r="K50" i="1" s="1"/>
  <c r="S68" i="1" s="1"/>
  <c r="H7" i="15"/>
  <c r="F7" i="15"/>
  <c r="C61" i="1"/>
  <c r="O5" i="15" s="1"/>
  <c r="M67" i="1"/>
  <c r="K66" i="1"/>
  <c r="K63" i="1"/>
  <c r="K69" i="1"/>
  <c r="K68" i="1"/>
  <c r="K77" i="1"/>
  <c r="H12" i="15" s="1"/>
  <c r="K12" i="15" s="1"/>
  <c r="C64" i="1"/>
  <c r="H8" i="15" s="1"/>
  <c r="C42" i="1"/>
  <c r="S21" i="1"/>
  <c r="T176" i="19" l="1"/>
  <c r="C17" i="1"/>
  <c r="O10" i="15"/>
  <c r="U161" i="19"/>
  <c r="U159" i="19"/>
  <c r="U173" i="19" s="1"/>
  <c r="U162" i="19"/>
  <c r="U167" i="19" s="1"/>
  <c r="U160" i="19"/>
  <c r="U174" i="19" s="1"/>
  <c r="S184" i="19"/>
  <c r="S185" i="19" s="1"/>
  <c r="V179" i="19"/>
  <c r="J19" i="15"/>
  <c r="N15" i="15"/>
  <c r="S81" i="1"/>
  <c r="C65" i="1"/>
  <c r="J9" i="15"/>
  <c r="O13" i="15"/>
  <c r="N18" i="15"/>
  <c r="O15" i="15"/>
  <c r="H15" i="15"/>
  <c r="N14" i="15"/>
  <c r="K7" i="15"/>
  <c r="H18" i="15"/>
  <c r="D14" i="15"/>
  <c r="D19" i="15"/>
  <c r="O17" i="15"/>
  <c r="S56" i="1"/>
  <c r="O6" i="15"/>
  <c r="S20" i="14"/>
  <c r="P20" i="14"/>
  <c r="P21" i="14" s="1"/>
  <c r="U20" i="14"/>
  <c r="S21" i="14"/>
  <c r="W179" i="19"/>
  <c r="W186" i="19"/>
  <c r="O8" i="15"/>
  <c r="K37" i="1"/>
  <c r="O11" i="15"/>
  <c r="O16" i="15"/>
  <c r="O18" i="15"/>
  <c r="K17" i="15"/>
  <c r="H5" i="15"/>
  <c r="K87" i="1"/>
  <c r="K90" i="1"/>
  <c r="K67" i="1"/>
  <c r="K39" i="1"/>
  <c r="K78" i="1"/>
  <c r="K96" i="1" s="1"/>
  <c r="K76" i="1"/>
  <c r="H11" i="15" s="1"/>
  <c r="K11" i="15" s="1"/>
  <c r="C43" i="1"/>
  <c r="C59" i="1" s="1"/>
  <c r="F60" i="1" s="1"/>
  <c r="U13" i="1"/>
  <c r="T13" i="1"/>
  <c r="S9" i="1"/>
  <c r="S11" i="1" s="1"/>
  <c r="S12" i="1" s="1"/>
  <c r="S13" i="1"/>
  <c r="U176" i="19" l="1"/>
  <c r="V186" i="19"/>
  <c r="O14" i="15"/>
  <c r="Q14" i="15" s="1"/>
  <c r="N19" i="15"/>
  <c r="S32" i="1"/>
  <c r="O9" i="15"/>
  <c r="H9" i="15"/>
  <c r="O19" i="15"/>
  <c r="H19" i="15"/>
  <c r="U21" i="14"/>
  <c r="T179" i="19"/>
  <c r="T186" i="19"/>
  <c r="K97" i="1"/>
  <c r="H13" i="15"/>
  <c r="K13" i="15" s="1"/>
  <c r="K89" i="1"/>
  <c r="S179" i="19" l="1"/>
  <c r="S180" i="19" s="1"/>
  <c r="U186" i="19" s="1"/>
  <c r="S186" i="19" s="1"/>
  <c r="O20" i="15"/>
  <c r="F63" i="1"/>
  <c r="N77" i="1" s="1"/>
  <c r="F62" i="1"/>
  <c r="F64" i="1"/>
  <c r="N78" i="1" s="1"/>
  <c r="C27" i="1"/>
  <c r="C26" i="1"/>
  <c r="K25" i="1" l="1"/>
  <c r="S19" i="1"/>
  <c r="F5" i="15"/>
  <c r="F16" i="15"/>
  <c r="K16" i="15" s="1"/>
  <c r="F6" i="15"/>
  <c r="K6" i="15" s="1"/>
  <c r="F15" i="15"/>
  <c r="N39" i="1"/>
  <c r="N76" i="1"/>
  <c r="N37" i="1"/>
  <c r="N38" i="1"/>
  <c r="K26" i="1"/>
  <c r="K49" i="1" s="1"/>
  <c r="S67" i="1" s="1"/>
  <c r="S20" i="1"/>
  <c r="C29" i="1"/>
  <c r="F18" i="15" s="1"/>
  <c r="K18" i="15" s="1"/>
  <c r="S14" i="1"/>
  <c r="D8" i="15"/>
  <c r="N8" i="15" s="1"/>
  <c r="T14" i="1"/>
  <c r="C18" i="1"/>
  <c r="C19" i="1" s="1"/>
  <c r="F19" i="15" l="1"/>
  <c r="K15" i="15"/>
  <c r="K19" i="15" s="1"/>
  <c r="S22" i="1"/>
  <c r="S24" i="1" s="1"/>
  <c r="F8" i="15"/>
  <c r="S31" i="1"/>
  <c r="K28" i="1"/>
  <c r="K51" i="1" s="1"/>
  <c r="C30" i="1"/>
  <c r="C24" i="1"/>
  <c r="U14" i="1"/>
  <c r="G10" i="1"/>
  <c r="D5" i="15"/>
  <c r="N5" i="15" s="1"/>
  <c r="S23" i="1" l="1"/>
  <c r="S33" i="1"/>
  <c r="S69" i="1"/>
  <c r="S87" i="1" s="1"/>
  <c r="K29" i="1"/>
  <c r="K30" i="1"/>
  <c r="N9" i="15"/>
  <c r="N20" i="15" s="1"/>
  <c r="F9" i="15"/>
  <c r="K8" i="15"/>
  <c r="K5" i="15"/>
  <c r="D9" i="15"/>
  <c r="S80" i="1"/>
  <c r="G24" i="1"/>
  <c r="P28" i="15" s="1"/>
  <c r="K9" i="15" l="1"/>
  <c r="S88" i="1"/>
  <c r="G25" i="1"/>
  <c r="C31" i="1"/>
  <c r="K31" i="1" s="1"/>
  <c r="D24" i="1"/>
  <c r="D25" i="1" l="1"/>
  <c r="D26" i="1" s="1"/>
  <c r="M5" i="15" s="1"/>
  <c r="M28" i="15"/>
  <c r="S25" i="1"/>
  <c r="L24" i="1"/>
  <c r="L46" i="1" s="1"/>
  <c r="O24" i="1"/>
  <c r="G29" i="1"/>
  <c r="P8" i="15" s="1"/>
  <c r="G27" i="1"/>
  <c r="G26" i="1"/>
  <c r="G28" i="1"/>
  <c r="W19" i="1" l="1"/>
  <c r="P5" i="15"/>
  <c r="L25" i="1"/>
  <c r="T19" i="1"/>
  <c r="M15" i="15"/>
  <c r="W18" i="1"/>
  <c r="T18" i="1"/>
  <c r="O46" i="1"/>
  <c r="K24" i="1"/>
  <c r="D29" i="1"/>
  <c r="M8" i="15" s="1"/>
  <c r="D27" i="1"/>
  <c r="O25" i="1"/>
  <c r="P15" i="15"/>
  <c r="O26" i="1"/>
  <c r="P16" i="15"/>
  <c r="P6" i="15"/>
  <c r="O27" i="1"/>
  <c r="P17" i="15"/>
  <c r="P7" i="15"/>
  <c r="O28" i="1"/>
  <c r="P18" i="15"/>
  <c r="W20" i="1"/>
  <c r="W21" i="1"/>
  <c r="W22" i="1"/>
  <c r="D28" i="1"/>
  <c r="M7" i="15" s="1"/>
  <c r="G30" i="1"/>
  <c r="O29" i="1" l="1"/>
  <c r="P9" i="15"/>
  <c r="W23" i="1"/>
  <c r="P19" i="15"/>
  <c r="L28" i="1"/>
  <c r="L26" i="1"/>
  <c r="M6" i="15"/>
  <c r="S18" i="1"/>
  <c r="M16" i="15"/>
  <c r="M18" i="15"/>
  <c r="M17" i="15"/>
  <c r="L27" i="1"/>
  <c r="T21" i="1"/>
  <c r="T20" i="1"/>
  <c r="T22" i="1"/>
  <c r="D30" i="1"/>
  <c r="L29" i="1" l="1"/>
  <c r="C46" i="15" s="1"/>
  <c r="D46" i="15" s="1"/>
  <c r="P20" i="15"/>
  <c r="M9" i="15"/>
  <c r="Q9" i="15" s="1"/>
  <c r="M19" i="15"/>
  <c r="Q19" i="15" s="1"/>
  <c r="T23" i="1"/>
  <c r="M20" i="15" l="1"/>
  <c r="Q20" i="15" l="1"/>
  <c r="O34" i="15" s="1"/>
  <c r="K19" i="1"/>
  <c r="K10" i="1"/>
  <c r="M10" i="1"/>
  <c r="P34" i="15" l="1"/>
  <c r="N34" i="15"/>
  <c r="M34" i="15"/>
  <c r="M46" i="1"/>
  <c r="N28" i="15"/>
  <c r="C50" i="1"/>
  <c r="Q34" i="15" l="1"/>
  <c r="C52" i="1"/>
  <c r="F61" i="1"/>
  <c r="K75" i="1"/>
  <c r="H10" i="15" s="1"/>
  <c r="K36" i="1"/>
  <c r="K48" i="1" s="1"/>
  <c r="S66" i="1" l="1"/>
  <c r="S70" i="1" s="1"/>
  <c r="S30" i="1"/>
  <c r="S35" i="1" s="1"/>
  <c r="K52" i="1"/>
  <c r="N36" i="1"/>
  <c r="N40" i="1" s="1"/>
  <c r="C47" i="15" s="1"/>
  <c r="D47" i="15" s="1"/>
  <c r="F65" i="1"/>
  <c r="K10" i="15"/>
  <c r="K14" i="15" s="1"/>
  <c r="K20" i="15" s="1"/>
  <c r="H14" i="15"/>
  <c r="K88" i="1"/>
  <c r="K91" i="1" s="1"/>
  <c r="K40" i="1"/>
  <c r="K41" i="1"/>
  <c r="K80" i="1"/>
  <c r="K79" i="1"/>
  <c r="N75" i="1"/>
  <c r="N79" i="1" s="1"/>
  <c r="S34" i="1" l="1"/>
  <c r="S42" i="1" s="1"/>
  <c r="S79" i="1"/>
  <c r="S82" i="1" s="1"/>
  <c r="S83" i="1" s="1"/>
  <c r="K92" i="1"/>
  <c r="S71" i="1"/>
  <c r="C66" i="1"/>
  <c r="K81" i="1" s="1"/>
  <c r="K42" i="1" l="1"/>
  <c r="N35" i="1" s="1"/>
  <c r="N46" i="1" s="1"/>
  <c r="K53" i="1"/>
  <c r="S36" i="1" s="1"/>
  <c r="N74" i="1"/>
  <c r="N85" i="1" s="1"/>
  <c r="K35" i="1" l="1"/>
  <c r="K46" i="1" s="1"/>
  <c r="N47" i="1" s="1"/>
  <c r="K85" i="1"/>
  <c r="L86" i="1" s="1"/>
  <c r="O86" i="1"/>
  <c r="S72" i="1"/>
  <c r="T29" i="1"/>
  <c r="T40" i="1" s="1"/>
  <c r="W29" i="1"/>
  <c r="W40" i="1" s="1"/>
  <c r="U29" i="1"/>
  <c r="U40" i="1" s="1"/>
  <c r="V29" i="1"/>
  <c r="S65" i="1" l="1"/>
  <c r="O47" i="1"/>
  <c r="O52" i="1" s="1"/>
  <c r="L47" i="1"/>
  <c r="L52" i="1" s="1"/>
  <c r="E46" i="15" s="1"/>
  <c r="F46" i="15" s="1"/>
  <c r="M47" i="1"/>
  <c r="M48" i="1" s="1"/>
  <c r="U66" i="1" s="1"/>
  <c r="N86" i="1"/>
  <c r="N96" i="1" s="1"/>
  <c r="Q28" i="15"/>
  <c r="N48" i="1"/>
  <c r="N52" i="1"/>
  <c r="E47" i="15" s="1"/>
  <c r="F47" i="15" s="1"/>
  <c r="V65" i="1"/>
  <c r="V76" i="1" s="1"/>
  <c r="U65" i="1"/>
  <c r="U76" i="1" s="1"/>
  <c r="T65" i="1"/>
  <c r="T76" i="1" s="1"/>
  <c r="W65" i="1"/>
  <c r="W76" i="1" s="1"/>
  <c r="V40" i="1"/>
  <c r="S29" i="1"/>
  <c r="N51" i="1"/>
  <c r="N50" i="1"/>
  <c r="N49" i="1"/>
  <c r="S40" i="1" l="1"/>
  <c r="T41" i="1" s="1"/>
  <c r="T42" i="1" s="1"/>
  <c r="M24" i="15" s="1"/>
  <c r="M52" i="1"/>
  <c r="V32" i="1"/>
  <c r="V68" i="1"/>
  <c r="V33" i="1"/>
  <c r="V69" i="1"/>
  <c r="V30" i="1"/>
  <c r="V66" i="1"/>
  <c r="V31" i="1"/>
  <c r="V67" i="1"/>
  <c r="L51" i="1"/>
  <c r="L50" i="1"/>
  <c r="L49" i="1"/>
  <c r="L48" i="1"/>
  <c r="T30" i="1" s="1"/>
  <c r="O48" i="1"/>
  <c r="W30" i="1" s="1"/>
  <c r="N32" i="15"/>
  <c r="O32" i="15"/>
  <c r="P32" i="15"/>
  <c r="M49" i="1"/>
  <c r="M50" i="1"/>
  <c r="M51" i="1"/>
  <c r="U69" i="1" s="1"/>
  <c r="O50" i="1"/>
  <c r="W32" i="1" s="1"/>
  <c r="O49" i="1"/>
  <c r="W31" i="1" s="1"/>
  <c r="O51" i="1"/>
  <c r="W33" i="1" s="1"/>
  <c r="S76" i="1"/>
  <c r="M32" i="15"/>
  <c r="U30" i="1"/>
  <c r="N88" i="1"/>
  <c r="N99" i="1"/>
  <c r="K99" i="1" s="1"/>
  <c r="K100" i="1" s="1"/>
  <c r="N89" i="1"/>
  <c r="N90" i="1"/>
  <c r="N87" i="1"/>
  <c r="V41" i="1" l="1"/>
  <c r="V42" i="1" s="1"/>
  <c r="Q32" i="15"/>
  <c r="V70" i="1"/>
  <c r="V34" i="1"/>
  <c r="T67" i="1"/>
  <c r="T31" i="1"/>
  <c r="W69" i="1"/>
  <c r="T69" i="1"/>
  <c r="T33" i="1"/>
  <c r="W68" i="1"/>
  <c r="U68" i="1"/>
  <c r="U32" i="1"/>
  <c r="W67" i="1"/>
  <c r="T66" i="1"/>
  <c r="T68" i="1"/>
  <c r="T32" i="1"/>
  <c r="W66" i="1"/>
  <c r="U31" i="1"/>
  <c r="U67" i="1"/>
  <c r="O24" i="15"/>
  <c r="U33" i="1"/>
  <c r="U41" i="1"/>
  <c r="W41" i="1"/>
  <c r="W42" i="1" s="1"/>
  <c r="W77" i="1"/>
  <c r="W79" i="1" s="1"/>
  <c r="V77" i="1"/>
  <c r="V81" i="1" s="1"/>
  <c r="T77" i="1"/>
  <c r="T87" i="1" s="1"/>
  <c r="N91" i="1"/>
  <c r="N25" i="15" s="1"/>
  <c r="U42" i="1" l="1"/>
  <c r="N24" i="15" s="1"/>
  <c r="T34" i="1"/>
  <c r="T70" i="1"/>
  <c r="U70" i="1"/>
  <c r="W34" i="1"/>
  <c r="V44" i="1"/>
  <c r="W70" i="1"/>
  <c r="N94" i="1"/>
  <c r="K94" i="1" s="1"/>
  <c r="K95" i="1" s="1"/>
  <c r="M101" i="1" s="1"/>
  <c r="T44" i="1"/>
  <c r="T81" i="1"/>
  <c r="T79" i="1"/>
  <c r="T78" i="1"/>
  <c r="U34" i="1"/>
  <c r="W80" i="1"/>
  <c r="W81" i="1"/>
  <c r="W87" i="1"/>
  <c r="W90" i="1" s="1"/>
  <c r="W82" i="1"/>
  <c r="W85" i="1" s="1"/>
  <c r="W78" i="1"/>
  <c r="V87" i="1"/>
  <c r="V78" i="1"/>
  <c r="V79" i="1"/>
  <c r="V80" i="1"/>
  <c r="T80" i="1"/>
  <c r="T90" i="1"/>
  <c r="W44" i="1"/>
  <c r="P24" i="15"/>
  <c r="O25" i="15"/>
  <c r="U44" i="1" l="1"/>
  <c r="S44" i="1" s="1"/>
  <c r="Q24" i="15"/>
  <c r="Q25" i="15"/>
  <c r="V90" i="1"/>
  <c r="S90" i="1" s="1"/>
  <c r="S91" i="1" s="1"/>
  <c r="P26" i="15"/>
  <c r="P27" i="15" s="1"/>
  <c r="W92" i="1"/>
  <c r="V82" i="1"/>
  <c r="T82" i="1"/>
  <c r="M26" i="15" s="1"/>
  <c r="M27" i="15" s="1"/>
  <c r="N101" i="1"/>
  <c r="T85" i="1" l="1"/>
  <c r="O26" i="15"/>
  <c r="O27" i="15" s="1"/>
  <c r="V85" i="1"/>
  <c r="V92" i="1" l="1"/>
  <c r="G47" i="15"/>
  <c r="T92" i="1"/>
  <c r="G46" i="15"/>
  <c r="N26" i="15"/>
  <c r="N27" i="15" s="1"/>
  <c r="Q27" i="15" s="1"/>
  <c r="M33" i="15" s="1"/>
  <c r="S85" i="1"/>
  <c r="S86" i="1" s="1"/>
  <c r="U92" i="1" s="1"/>
  <c r="Q26" i="15" l="1"/>
  <c r="P33" i="15"/>
  <c r="O33" i="15"/>
  <c r="N33" i="15"/>
  <c r="Q33" i="15" l="1"/>
</calcChain>
</file>

<file path=xl/sharedStrings.xml><?xml version="1.0" encoding="utf-8"?>
<sst xmlns="http://schemas.openxmlformats.org/spreadsheetml/2006/main" count="861" uniqueCount="224">
  <si>
    <t xml:space="preserve">P1 </t>
  </si>
  <si>
    <t>Schedule K</t>
  </si>
  <si>
    <t>P2</t>
  </si>
  <si>
    <t>Schedule K1</t>
  </si>
  <si>
    <t>Corp</t>
  </si>
  <si>
    <t>Type 1</t>
  </si>
  <si>
    <t>Receipts</t>
  </si>
  <si>
    <t>Deduction</t>
  </si>
  <si>
    <t>Net</t>
  </si>
  <si>
    <t>P&amp;L (50%/ 50%)</t>
  </si>
  <si>
    <t>A</t>
  </si>
  <si>
    <t>Type  2</t>
  </si>
  <si>
    <t>Special</t>
  </si>
  <si>
    <t>B</t>
  </si>
  <si>
    <t>Type 2</t>
  </si>
  <si>
    <t>Type 3</t>
  </si>
  <si>
    <t>C</t>
  </si>
  <si>
    <t>A+B+C</t>
  </si>
  <si>
    <t>Total Net</t>
  </si>
  <si>
    <t>Total Net Income</t>
  </si>
  <si>
    <t>Share of Factor Baseline</t>
  </si>
  <si>
    <t>Total ABS</t>
  </si>
  <si>
    <t>+</t>
  </si>
  <si>
    <t>=</t>
  </si>
  <si>
    <t>Factor Baseline</t>
  </si>
  <si>
    <t>Ratio of receipts</t>
  </si>
  <si>
    <t>Total Receipts</t>
  </si>
  <si>
    <t>Share or receipts</t>
  </si>
  <si>
    <t>GENERAL DATA   (Make changes only to yellow highlighted items.)</t>
  </si>
  <si>
    <t>Positive Numbers</t>
  </si>
  <si>
    <t>Negative Numbers</t>
  </si>
  <si>
    <t>Lower Tier</t>
  </si>
  <si>
    <t>Middle Tier</t>
  </si>
  <si>
    <t>Upper Tier</t>
  </si>
  <si>
    <t>Partnership 1 Items and Source Income</t>
  </si>
  <si>
    <t>Total</t>
  </si>
  <si>
    <t>State A</t>
  </si>
  <si>
    <t>State B</t>
  </si>
  <si>
    <t>State C</t>
  </si>
  <si>
    <t>State D</t>
  </si>
  <si>
    <t>Partnership 3 Items and Factors</t>
  </si>
  <si>
    <r>
      <t>Corporate Partner - Income,  Factor</t>
    </r>
    <r>
      <rPr>
        <sz val="11"/>
        <color theme="1"/>
        <rFont val="Aptos Narrow"/>
        <family val="2"/>
        <scheme val="minor"/>
      </rPr>
      <t>s</t>
    </r>
    <r>
      <rPr>
        <b/>
        <sz val="11"/>
        <color theme="1"/>
        <rFont val="Aptos Narrow"/>
        <family val="2"/>
        <scheme val="minor"/>
      </rPr>
      <t xml:space="preserve"> &amp; Distributive Share</t>
    </r>
  </si>
  <si>
    <t xml:space="preserve">State B </t>
  </si>
  <si>
    <t>Self-Generated Gross Receipts by Type</t>
  </si>
  <si>
    <r>
      <rPr>
        <u/>
        <sz val="11"/>
        <color theme="1"/>
        <rFont val="Aptos Narrow"/>
        <family val="2"/>
        <scheme val="minor"/>
      </rPr>
      <t>Self-generated Corporate Income and Receipts</t>
    </r>
    <r>
      <rPr>
        <sz val="11"/>
        <color theme="1"/>
        <rFont val="Aptos Narrow"/>
        <family val="2"/>
        <scheme val="minor"/>
      </rPr>
      <t xml:space="preserve"> -</t>
    </r>
  </si>
  <si>
    <t>Ordinary - Type 1 (e.g. Ordinary Business Income)</t>
  </si>
  <si>
    <t>Ordinary - Type 1</t>
  </si>
  <si>
    <t>Gross Receipts - Ordinary</t>
  </si>
  <si>
    <t>Ordinary - Type 2 (e.g. Rental Income)</t>
  </si>
  <si>
    <t>Ordinary - Type 2</t>
  </si>
  <si>
    <t>General Corporate Expenses</t>
  </si>
  <si>
    <t>Ordinary - Charges to Related Partners</t>
  </si>
  <si>
    <t>Expense - Charges from Partnership</t>
  </si>
  <si>
    <t>Capital Sale Proceeds - Partnership Asset</t>
  </si>
  <si>
    <t>Ordinary Net Income</t>
  </si>
  <si>
    <t>Total Ordinary Receipts (Types 1, 2 , &amp; Charges)</t>
  </si>
  <si>
    <t>Capital Sale Proceeds - Corp Asset</t>
  </si>
  <si>
    <t>Total Receipts Including Capital Sale Proceeds</t>
  </si>
  <si>
    <t>Capital Basis Deduction - Corp Asset</t>
  </si>
  <si>
    <r>
      <t>Self-Generated Expenses by Type</t>
    </r>
    <r>
      <rPr>
        <sz val="11"/>
        <color theme="1"/>
        <rFont val="Aptos Narrow"/>
        <family val="2"/>
        <scheme val="minor"/>
      </rPr>
      <t xml:space="preserve"> </t>
    </r>
  </si>
  <si>
    <r>
      <t>Expense Type</t>
    </r>
    <r>
      <rPr>
        <sz val="11"/>
        <color theme="1"/>
        <rFont val="Aptos Narrow"/>
        <family val="2"/>
        <scheme val="minor"/>
      </rPr>
      <t xml:space="preserve"> - [3]</t>
    </r>
  </si>
  <si>
    <t>Net Capital Gain (Loss)</t>
  </si>
  <si>
    <t>Deduction - Type 1</t>
  </si>
  <si>
    <t>Deduction- Type 1</t>
  </si>
  <si>
    <t>Total Corporate Self-Generated Net Income</t>
  </si>
  <si>
    <t>Deduction - Type 2</t>
  </si>
  <si>
    <t>Corporation's Ordinary Receipts</t>
  </si>
  <si>
    <t>Deduction  - Type 3 - Overhead or Charged by Related Parties</t>
  </si>
  <si>
    <t>Deduction  - Type 3 Overhead or Charged by Related Parties</t>
  </si>
  <si>
    <t>Corporation's Ordinary Receipts Including Capital Sale</t>
  </si>
  <si>
    <t>Capital Basis Deduction - Partnership Asset Sold</t>
  </si>
  <si>
    <t>Total Ordinary Deduction</t>
  </si>
  <si>
    <t>Total Ordinary Deductions</t>
  </si>
  <si>
    <t>K-1 received from P1</t>
  </si>
  <si>
    <t>Ordinary Net Income (Loss)</t>
  </si>
  <si>
    <t>P&amp;L</t>
  </si>
  <si>
    <t xml:space="preserve"> Net Capital Gain (Loss)</t>
  </si>
  <si>
    <t>Total receipts</t>
  </si>
  <si>
    <t>Partnership 1 Self-Generated Net Income</t>
  </si>
  <si>
    <t>Partnership 2 Self-Generated Net Income</t>
  </si>
  <si>
    <t>Ordinary Income -Type 1</t>
  </si>
  <si>
    <t>Ordinary Income - Type 2</t>
  </si>
  <si>
    <t>Schedule K and State by State Computation</t>
  </si>
  <si>
    <t>Deduction - Type 3</t>
  </si>
  <si>
    <t>Total Net Distributive Share from P1</t>
  </si>
  <si>
    <t xml:space="preserve">P1 Total Receitps </t>
  </si>
  <si>
    <t>Receipts Factor</t>
  </si>
  <si>
    <t>Factor Share</t>
  </si>
  <si>
    <t>P1 Distributive share of Ordinary Income (Loss) -Type 1</t>
  </si>
  <si>
    <t>P1 Distributive share of Ordinary Income (Loss) -Type 2</t>
  </si>
  <si>
    <t>K-1 received from P3</t>
  </si>
  <si>
    <t>P1 Distributive Share of deduction Type 3</t>
  </si>
  <si>
    <t>P1 Disributive share of Capital Gain (Loss)</t>
  </si>
  <si>
    <t>Total Partnership 1 Income</t>
  </si>
  <si>
    <t>K-1 received from P2</t>
  </si>
  <si>
    <t>Total Net Distributive Share from P2</t>
  </si>
  <si>
    <t>Partnership 2 Items and Source Income</t>
  </si>
  <si>
    <t>Corporate Combined Returns</t>
  </si>
  <si>
    <t xml:space="preserve">Total Receitps </t>
  </si>
  <si>
    <t>Effective rates</t>
  </si>
  <si>
    <r>
      <t>Self-generated Expense Type</t>
    </r>
    <r>
      <rPr>
        <sz val="11"/>
        <color theme="1"/>
        <rFont val="Aptos Narrow"/>
        <family val="2"/>
        <scheme val="minor"/>
      </rPr>
      <t xml:space="preserve"> - [3]</t>
    </r>
  </si>
  <si>
    <t>Total taxes</t>
  </si>
  <si>
    <t xml:space="preserve">P2 Total Receitps </t>
  </si>
  <si>
    <t>Receipts Factor Blended</t>
  </si>
  <si>
    <t>John Doe - Self Generated Apportionable Income</t>
  </si>
  <si>
    <t>P2 Distributive share of Ordinary Income (Loss) -Type 1</t>
  </si>
  <si>
    <r>
      <rPr>
        <u/>
        <sz val="11"/>
        <color theme="1"/>
        <rFont val="Aptos Narrow"/>
        <family val="2"/>
        <scheme val="minor"/>
      </rPr>
      <t>Separate Income and Receipts</t>
    </r>
    <r>
      <rPr>
        <sz val="11"/>
        <color theme="1"/>
        <rFont val="Aptos Narrow"/>
        <family val="2"/>
        <scheme val="minor"/>
      </rPr>
      <t xml:space="preserve"> -</t>
    </r>
  </si>
  <si>
    <t>P2 Distributive share of Ordinary Income (Loss) -Type 2</t>
  </si>
  <si>
    <t>P2 Distributive Share of deduction Type 3</t>
  </si>
  <si>
    <t>Business Deductions</t>
  </si>
  <si>
    <t>P2 Disributive share of Capital Gain (Loss)</t>
  </si>
  <si>
    <t>Expenses paid on behalf of Partnership</t>
  </si>
  <si>
    <t>Total Partnership 2 Income</t>
  </si>
  <si>
    <t xml:space="preserve">Capital Sale Proceeds </t>
  </si>
  <si>
    <t>Capital Basis Deduction</t>
  </si>
  <si>
    <t>Ordinary Receipts</t>
  </si>
  <si>
    <t>Jane Doe - Self Generated Apportionable Income</t>
  </si>
  <si>
    <t>Ordinary Receipts Including Capital Sale</t>
  </si>
  <si>
    <r>
      <rPr>
        <u/>
        <sz val="11"/>
        <color theme="1"/>
        <rFont val="Aptos Narrow"/>
        <family val="2"/>
        <scheme val="minor"/>
      </rPr>
      <t>John Doe's Distributive Share of Partnership 3 Items</t>
    </r>
    <r>
      <rPr>
        <sz val="11"/>
        <color theme="1"/>
        <rFont val="Aptos Narrow"/>
        <family val="2"/>
        <scheme val="minor"/>
      </rPr>
      <t xml:space="preserve"> -</t>
    </r>
  </si>
  <si>
    <t>John Doe's Returns</t>
  </si>
  <si>
    <t>Everywhere</t>
  </si>
  <si>
    <t>Self Generated Ordinay Income or loss</t>
  </si>
  <si>
    <t>Net Ordinary Income</t>
  </si>
  <si>
    <t>Tax (effective rate 5%)</t>
  </si>
  <si>
    <t>Jane Doe's Returns</t>
  </si>
  <si>
    <t>Effective rate other states</t>
  </si>
  <si>
    <t>Credit for taxes paid to other states</t>
  </si>
  <si>
    <t>Total tax on ordinary income in  State B</t>
  </si>
  <si>
    <t xml:space="preserve">Net Capital Gain (Loss) </t>
  </si>
  <si>
    <t>Tax (effective rate 4%)</t>
  </si>
  <si>
    <t>Total tax on capital gains in  State B</t>
  </si>
  <si>
    <t>Tax (effective rate)</t>
  </si>
  <si>
    <t xml:space="preserve">Total Tax </t>
  </si>
  <si>
    <t>Note that capital losses are not limited.</t>
  </si>
  <si>
    <t>Plain Vanilla: Ordinary business income only in lower tier partnerships</t>
  </si>
  <si>
    <t>Separate Apportionement</t>
  </si>
  <si>
    <t>Taxpayers</t>
  </si>
  <si>
    <t>Income Type</t>
  </si>
  <si>
    <t>Self-Generated Income</t>
  </si>
  <si>
    <t>Share of P1 P&amp;L</t>
  </si>
  <si>
    <t>Share of P1 income</t>
  </si>
  <si>
    <t>Share of P2 P&amp;L</t>
  </si>
  <si>
    <t>Share of P2 income</t>
  </si>
  <si>
    <t>Share of P3 P&amp;L</t>
  </si>
  <si>
    <t>Share of P3 income</t>
  </si>
  <si>
    <t>Corp.</t>
  </si>
  <si>
    <t>Jane Doe</t>
  </si>
  <si>
    <t>Deduction - Partnership</t>
  </si>
  <si>
    <t>John Doe</t>
  </si>
  <si>
    <t>Blended Apportionment</t>
  </si>
  <si>
    <t>Total income</t>
  </si>
  <si>
    <t xml:space="preserve"> </t>
  </si>
  <si>
    <t>Blended</t>
  </si>
  <si>
    <t>Separate</t>
  </si>
  <si>
    <t xml:space="preserve">Withholding Transactions in States A and C at P3 level. </t>
  </si>
  <si>
    <t>K-1 received</t>
  </si>
  <si>
    <t>K-1s issued</t>
  </si>
  <si>
    <t xml:space="preserve">State </t>
  </si>
  <si>
    <t>Income</t>
  </si>
  <si>
    <t>PT-WTH 5%</t>
  </si>
  <si>
    <t>Revised PT-WTH 5%</t>
  </si>
  <si>
    <t>Difference</t>
  </si>
  <si>
    <t>Yes</t>
  </si>
  <si>
    <t>No</t>
  </si>
  <si>
    <t>Partnership 1 Items and Factors</t>
  </si>
  <si>
    <t>Corporate Partner - Items and  Factors</t>
  </si>
  <si>
    <r>
      <t>Self-generated Gross Receipts by Type</t>
    </r>
    <r>
      <rPr>
        <sz val="11"/>
        <color theme="1"/>
        <rFont val="Aptos Narrow"/>
        <family val="2"/>
        <scheme val="minor"/>
      </rPr>
      <t xml:space="preserve"> </t>
    </r>
  </si>
  <si>
    <t>Self-generated Expense Type</t>
  </si>
  <si>
    <t>Deduction  - Type 3</t>
  </si>
  <si>
    <t>Total Ordinary Expense</t>
  </si>
  <si>
    <t>Payroll</t>
  </si>
  <si>
    <t>Property</t>
  </si>
  <si>
    <t>Partnership 3 Self-Generated Net Income</t>
  </si>
  <si>
    <t>Separate Appportionment</t>
  </si>
  <si>
    <t>Corporate Partner's Distributive Share of Partnership Items</t>
  </si>
  <si>
    <t>Number of Factors</t>
  </si>
  <si>
    <t>Factor</t>
  </si>
  <si>
    <t>Blended Portion</t>
  </si>
  <si>
    <t>Separate Appportionment of P3 Blended Income</t>
  </si>
  <si>
    <t>Partnership 3 Distributive Share of Partnership Items</t>
  </si>
  <si>
    <t>Partnership 2 Items and Factors</t>
  </si>
  <si>
    <r>
      <t>Self-generated Gross Receipts by Type</t>
    </r>
    <r>
      <rPr>
        <sz val="11"/>
        <color theme="1"/>
        <rFont val="Aptos Narrow"/>
        <family val="2"/>
        <scheme val="minor"/>
      </rPr>
      <t xml:space="preserve"> -</t>
    </r>
  </si>
  <si>
    <r>
      <rPr>
        <u/>
        <sz val="11"/>
        <color theme="1"/>
        <rFont val="Aptos Narrow"/>
        <family val="2"/>
        <scheme val="minor"/>
      </rPr>
      <t>Partnership 3 Distributive Share of Partnership 2 Items</t>
    </r>
    <r>
      <rPr>
        <sz val="11"/>
        <color theme="1"/>
        <rFont val="Aptos Narrow"/>
        <family val="2"/>
        <scheme val="minor"/>
      </rPr>
      <t xml:space="preserve"> -</t>
    </r>
  </si>
  <si>
    <t>Deduction - type 3</t>
  </si>
  <si>
    <t>Net capital gain (loss)</t>
  </si>
  <si>
    <t>Net distributive share from P3 blended income</t>
  </si>
  <si>
    <t>Separately Apportioned Item from P1</t>
  </si>
  <si>
    <t>Separate Appportionment of P1 income</t>
  </si>
  <si>
    <t xml:space="preserve">P3 Total Blended Receitps </t>
  </si>
  <si>
    <t>P3 Total Blended Payroll</t>
  </si>
  <si>
    <t>P3 Total Blended Property</t>
  </si>
  <si>
    <t>Blended Factor</t>
  </si>
  <si>
    <t>Separately Apportioned Item from P2</t>
  </si>
  <si>
    <t>P3 Distributive share of Ordinary Income (Loss) -Type 1</t>
  </si>
  <si>
    <t>Separate Appportionment of P2 income</t>
  </si>
  <si>
    <t>P3 Distributive share of Ordinary Income (Loss) -Type 2</t>
  </si>
  <si>
    <t>P3 Distributive Share of deduction Type 3</t>
  </si>
  <si>
    <t>P3 Disributive share of Capital Gain (Loss)</t>
  </si>
  <si>
    <t>Income Subject to Blended Apportionment</t>
  </si>
  <si>
    <t>Separately Apportioned Income from P1</t>
  </si>
  <si>
    <t>Separately Apportioned Income from P2</t>
  </si>
  <si>
    <t>Total Separately Apportioned income</t>
  </si>
  <si>
    <t>Total Net Blended Income</t>
  </si>
  <si>
    <t>Separately Apportioned Income from P3</t>
  </si>
  <si>
    <t>Separately Apportioned Income from P1 Received Through P3</t>
  </si>
  <si>
    <t>Separately Apportioned Income from P2 Received Through P3</t>
  </si>
  <si>
    <r>
      <rPr>
        <u/>
        <sz val="11"/>
        <color theme="1"/>
        <rFont val="Aptos Narrow"/>
        <family val="2"/>
        <scheme val="minor"/>
      </rPr>
      <t>Corporate Partner's Distributive Share of Partnership 2 Items</t>
    </r>
    <r>
      <rPr>
        <sz val="11"/>
        <color theme="1"/>
        <rFont val="Aptos Narrow"/>
        <family val="2"/>
        <scheme val="minor"/>
      </rPr>
      <t xml:space="preserve"> -</t>
    </r>
  </si>
  <si>
    <t>Total Separately Apportioned Income</t>
  </si>
  <si>
    <t xml:space="preserve">John Doe </t>
  </si>
  <si>
    <t>Rate</t>
  </si>
  <si>
    <t>Self generated ordinary income or loss</t>
  </si>
  <si>
    <t>Ordinary income from P2 -Type 1</t>
  </si>
  <si>
    <t>Ordinary income from P2 - Type 2</t>
  </si>
  <si>
    <t>Deduction from P2 - Type 3</t>
  </si>
  <si>
    <t>Net ordinary income</t>
  </si>
  <si>
    <t>Tax rate and tax</t>
  </si>
  <si>
    <t>Net tax on ordinary income in  State B</t>
  </si>
  <si>
    <t xml:space="preserve">Net capital gain (loss) </t>
  </si>
  <si>
    <t>Net tax on capital gains in  State B</t>
  </si>
  <si>
    <t>Total Taxes Paid</t>
  </si>
  <si>
    <t>Tax</t>
  </si>
  <si>
    <t xml:space="preserve">Tax </t>
  </si>
  <si>
    <t>Total Partnership 1  Apportionable Income</t>
  </si>
  <si>
    <t>Non-apportionable income or loss specifically assigned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</si>
</sst>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_(&quot;$&quot;* #,##0_);_(&quot;$&quot;* \(#,##0\);_(&quot;$&quot;* &quot;-&quot;??_);_(@_)"/>
    <numFmt numFmtId="165" formatCode="0.0000%"/>
    <numFmt numFmtId="166" formatCode="_(&quot;$&quot;* #,##0_);_(&quot;$&quot;* \(#,##0\);_(&quot;$&quot;* &quot;-&quot;????_);_(@_)"/>
  </numFmts>
  <fonts count="8" x14ac:knownFonts="1">
    <font>
      <sz val="11"/>
      <color theme="1"/>
      <name val="Aptos Narrow"/>
      <family val="2"/>
      <scheme val="minor"/>
    </font>
    <font>
      <sz val="11"/>
      <color theme="1"/>
      <name val="Aptos Narrow"/>
      <family val="2"/>
      <scheme val="minor"/>
    </font>
    <font>
      <b/>
      <sz val="11"/>
      <color theme="1"/>
      <name val="Aptos Narrow"/>
      <family val="2"/>
      <scheme val="minor"/>
    </font>
    <font>
      <u/>
      <sz val="11"/>
      <color theme="1"/>
      <name val="Aptos Narrow"/>
      <family val="2"/>
      <scheme val="minor"/>
    </font>
    <font>
      <b/>
      <sz val="16"/>
      <color theme="6" tint="-0.249977111117893"/>
      <name val="Aptos Narrow"/>
      <family val="2"/>
      <scheme val="minor"/>
    </font>
    <font>
      <sz val="8"/>
      <name val="Aptos Narrow"/>
      <family val="2"/>
      <scheme val="minor"/>
    </font>
    <font>
      <b/>
      <sz val="20"/>
      <color theme="1"/>
      <name val="Aptos Narrow"/>
      <family val="2"/>
      <scheme val="minor"/>
    </font>
    <font>
      <b/>
      <sz val="14"/>
      <color theme="1"/>
      <name val="Aptos Narrow"/>
      <family val="2"/>
      <scheme val="minor"/>
    </font>
  </fonts>
  <fills count="34">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1" tint="0.499984740745262"/>
        <bgColor indexed="64"/>
      </patternFill>
    </fill>
    <fill>
      <patternFill patternType="solid">
        <fgColor theme="5"/>
        <bgColor indexed="64"/>
      </patternFill>
    </fill>
    <fill>
      <patternFill patternType="solid">
        <fgColor theme="8" tint="0.79998168889431442"/>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theme="5" tint="0.59999389629810485"/>
        <bgColor indexed="64"/>
      </patternFill>
    </fill>
    <fill>
      <patternFill patternType="solid">
        <fgColor theme="6" tint="0.79998168889431442"/>
        <bgColor indexed="64"/>
      </patternFill>
    </fill>
    <fill>
      <patternFill patternType="solid">
        <fgColor theme="9" tint="0.59999389629810485"/>
        <bgColor indexed="64"/>
      </patternFill>
    </fill>
    <fill>
      <patternFill patternType="solid">
        <fgColor theme="2"/>
        <bgColor indexed="64"/>
      </patternFill>
    </fill>
    <fill>
      <patternFill patternType="solid">
        <fgColor rgb="FFFFC000"/>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5" tint="0.39997558519241921"/>
        <bgColor indexed="64"/>
      </patternFill>
    </fill>
    <fill>
      <patternFill patternType="solid">
        <fgColor theme="7"/>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rgb="FF66FFFF"/>
        <bgColor indexed="64"/>
      </patternFill>
    </fill>
    <fill>
      <patternFill patternType="solid">
        <fgColor rgb="FFFF9933"/>
        <bgColor indexed="64"/>
      </patternFill>
    </fill>
    <fill>
      <patternFill patternType="solid">
        <fgColor theme="0" tint="-0.249977111117893"/>
        <bgColor indexed="64"/>
      </patternFill>
    </fill>
    <fill>
      <patternFill patternType="solid">
        <fgColor rgb="FFFFFFCC"/>
        <bgColor indexed="64"/>
      </patternFill>
    </fill>
    <fill>
      <patternFill patternType="solid">
        <fgColor rgb="FFCCFF66"/>
        <bgColor indexed="64"/>
      </patternFill>
    </fill>
    <fill>
      <patternFill patternType="solid">
        <fgColor theme="9" tint="0.39997558519241921"/>
        <bgColor indexed="64"/>
      </patternFill>
    </fill>
    <fill>
      <patternFill patternType="solid">
        <fgColor rgb="FF00B0F0"/>
        <bgColor indexed="64"/>
      </patternFill>
    </fill>
    <fill>
      <patternFill patternType="solid">
        <fgColor theme="4" tint="0.79998168889431442"/>
        <bgColor indexed="64"/>
      </patternFill>
    </fill>
    <fill>
      <patternFill patternType="solid">
        <fgColor rgb="FFCCECFF"/>
        <bgColor indexed="64"/>
      </patternFill>
    </fill>
    <fill>
      <patternFill patternType="solid">
        <fgColor theme="8" tint="0.59999389629810485"/>
        <bgColor indexed="64"/>
      </patternFill>
    </fill>
    <fill>
      <patternFill patternType="solid">
        <fgColor theme="7" tint="0.39997558519241921"/>
        <bgColor indexed="64"/>
      </patternFill>
    </fill>
    <fill>
      <patternFill patternType="solid">
        <fgColor theme="9"/>
        <bgColor indexed="64"/>
      </patternFill>
    </fill>
    <fill>
      <patternFill patternType="solid">
        <fgColor theme="2" tint="-9.9978637043366805E-2"/>
        <bgColor indexed="64"/>
      </patternFill>
    </fill>
    <fill>
      <patternFill patternType="solid">
        <fgColor rgb="FFFF0000"/>
        <bgColor indexed="64"/>
      </patternFill>
    </fill>
  </fills>
  <borders count="19">
    <border>
      <left/>
      <right/>
      <top/>
      <bottom/>
      <diagonal/>
    </border>
    <border>
      <left/>
      <right/>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bottom style="medium">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right/>
      <top style="medium">
        <color indexed="64"/>
      </top>
      <bottom/>
      <diagonal/>
    </border>
    <border>
      <left style="thin">
        <color indexed="64"/>
      </left>
      <right/>
      <top style="thin">
        <color indexed="64"/>
      </top>
      <bottom style="thin">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250">
    <xf numFmtId="0" fontId="0" fillId="0" borderId="0" xfId="0"/>
    <xf numFmtId="0" fontId="0" fillId="0" borderId="0" xfId="0" applyAlignment="1">
      <alignment horizontal="left" indent="1"/>
    </xf>
    <xf numFmtId="0" fontId="0" fillId="0" borderId="0" xfId="0" applyAlignment="1">
      <alignment horizontal="right" indent="1"/>
    </xf>
    <xf numFmtId="0" fontId="0" fillId="0" borderId="0" xfId="0" applyAlignment="1">
      <alignment horizontal="right"/>
    </xf>
    <xf numFmtId="0" fontId="0" fillId="0" borderId="0" xfId="0" applyAlignment="1">
      <alignment horizontal="left" indent="2"/>
    </xf>
    <xf numFmtId="0" fontId="0" fillId="0" borderId="0" xfId="0" applyAlignment="1">
      <alignment horizontal="center"/>
    </xf>
    <xf numFmtId="0" fontId="2" fillId="0" borderId="1" xfId="0" applyFont="1" applyBorder="1" applyAlignment="1">
      <alignment horizontal="center"/>
    </xf>
    <xf numFmtId="44" fontId="0" fillId="0" borderId="0" xfId="1" applyFont="1"/>
    <xf numFmtId="164" fontId="0" fillId="0" borderId="0" xfId="1" applyNumberFormat="1" applyFont="1"/>
    <xf numFmtId="164" fontId="0" fillId="2" borderId="0" xfId="1" applyNumberFormat="1" applyFont="1" applyFill="1"/>
    <xf numFmtId="164" fontId="0" fillId="2" borderId="2" xfId="1" applyNumberFormat="1" applyFont="1" applyFill="1" applyBorder="1"/>
    <xf numFmtId="164" fontId="0" fillId="0" borderId="0" xfId="1" applyNumberFormat="1" applyFont="1" applyFill="1"/>
    <xf numFmtId="164" fontId="0" fillId="2" borderId="0" xfId="1" applyNumberFormat="1" applyFont="1" applyFill="1" applyBorder="1"/>
    <xf numFmtId="164" fontId="0" fillId="0" borderId="0" xfId="0" applyNumberFormat="1"/>
    <xf numFmtId="164" fontId="0" fillId="2" borderId="0" xfId="0" applyNumberFormat="1" applyFill="1"/>
    <xf numFmtId="0" fontId="3" fillId="0" borderId="0" xfId="0" applyFont="1"/>
    <xf numFmtId="164" fontId="2" fillId="0" borderId="1" xfId="1" applyNumberFormat="1" applyFont="1" applyBorder="1" applyAlignment="1">
      <alignment horizontal="center"/>
    </xf>
    <xf numFmtId="9" fontId="0" fillId="0" borderId="0" xfId="0" applyNumberFormat="1"/>
    <xf numFmtId="0" fontId="0" fillId="4" borderId="0" xfId="0" applyFill="1"/>
    <xf numFmtId="0" fontId="2" fillId="4" borderId="0" xfId="0" applyFont="1" applyFill="1" applyAlignment="1">
      <alignment horizontal="center"/>
    </xf>
    <xf numFmtId="164" fontId="0" fillId="4" borderId="0" xfId="1" applyNumberFormat="1" applyFont="1" applyFill="1"/>
    <xf numFmtId="164" fontId="0" fillId="4" borderId="0" xfId="1" applyNumberFormat="1" applyFont="1" applyFill="1" applyBorder="1"/>
    <xf numFmtId="164" fontId="0" fillId="4" borderId="0" xfId="1" applyNumberFormat="1" applyFont="1" applyFill="1" applyAlignment="1">
      <alignment horizontal="center"/>
    </xf>
    <xf numFmtId="0" fontId="2" fillId="0" borderId="0" xfId="0" applyFont="1"/>
    <xf numFmtId="0" fontId="4" fillId="0" borderId="0" xfId="0" applyFont="1"/>
    <xf numFmtId="0" fontId="0" fillId="0" borderId="0" xfId="0" applyAlignment="1">
      <alignment horizontal="left" indent="3"/>
    </xf>
    <xf numFmtId="164" fontId="2" fillId="0" borderId="1" xfId="1" applyNumberFormat="1" applyFont="1" applyFill="1" applyBorder="1" applyAlignment="1">
      <alignment horizontal="center"/>
    </xf>
    <xf numFmtId="164" fontId="0" fillId="0" borderId="0" xfId="1" applyNumberFormat="1" applyFont="1" applyAlignment="1">
      <alignment horizontal="right"/>
    </xf>
    <xf numFmtId="0" fontId="0" fillId="0" borderId="0" xfId="0" applyAlignment="1">
      <alignment vertical="top" wrapText="1"/>
    </xf>
    <xf numFmtId="0" fontId="0" fillId="0" borderId="0" xfId="0" applyAlignment="1">
      <alignment vertical="top"/>
    </xf>
    <xf numFmtId="164" fontId="0" fillId="3" borderId="0" xfId="0" applyNumberFormat="1" applyFill="1"/>
    <xf numFmtId="9" fontId="0" fillId="0" borderId="0" xfId="2" applyFont="1" applyFill="1" applyAlignment="1">
      <alignment horizontal="center"/>
    </xf>
    <xf numFmtId="164" fontId="0" fillId="7" borderId="0" xfId="0" applyNumberFormat="1" applyFill="1"/>
    <xf numFmtId="9" fontId="0" fillId="0" borderId="0" xfId="2" applyFont="1"/>
    <xf numFmtId="9" fontId="0" fillId="8" borderId="0" xfId="2" applyFont="1" applyFill="1"/>
    <xf numFmtId="164" fontId="0" fillId="9" borderId="0" xfId="0" applyNumberFormat="1" applyFill="1"/>
    <xf numFmtId="44" fontId="0" fillId="9" borderId="0" xfId="0" applyNumberFormat="1" applyFill="1"/>
    <xf numFmtId="164" fontId="0" fillId="10" borderId="0" xfId="0" applyNumberFormat="1" applyFill="1"/>
    <xf numFmtId="44" fontId="0" fillId="11" borderId="0" xfId="0" applyNumberFormat="1" applyFill="1"/>
    <xf numFmtId="164" fontId="0" fillId="12" borderId="0" xfId="1" applyNumberFormat="1" applyFont="1" applyFill="1"/>
    <xf numFmtId="9" fontId="0" fillId="12" borderId="0" xfId="2" applyFont="1" applyFill="1"/>
    <xf numFmtId="164" fontId="0" fillId="12" borderId="0" xfId="0" applyNumberFormat="1" applyFill="1"/>
    <xf numFmtId="164" fontId="1" fillId="12" borderId="0" xfId="1" applyNumberFormat="1" applyFont="1" applyFill="1" applyAlignment="1">
      <alignment vertical="center"/>
    </xf>
    <xf numFmtId="9" fontId="0" fillId="12" borderId="0" xfId="2" applyFont="1" applyFill="1" applyAlignment="1">
      <alignment horizontal="center"/>
    </xf>
    <xf numFmtId="164" fontId="2" fillId="0" borderId="0" xfId="1" applyNumberFormat="1" applyFont="1" applyAlignment="1">
      <alignment horizontal="center"/>
    </xf>
    <xf numFmtId="164" fontId="0" fillId="6" borderId="0" xfId="1" applyNumberFormat="1" applyFont="1" applyFill="1"/>
    <xf numFmtId="9" fontId="0" fillId="6" borderId="0" xfId="2" applyFont="1" applyFill="1"/>
    <xf numFmtId="164" fontId="0" fillId="13" borderId="0" xfId="1" applyNumberFormat="1" applyFont="1" applyFill="1"/>
    <xf numFmtId="164" fontId="0" fillId="14" borderId="0" xfId="1" applyNumberFormat="1" applyFont="1" applyFill="1" applyAlignment="1">
      <alignment horizontal="right"/>
    </xf>
    <xf numFmtId="0" fontId="0" fillId="14" borderId="0" xfId="0" applyFill="1" applyAlignment="1">
      <alignment horizontal="right" indent="2"/>
    </xf>
    <xf numFmtId="0" fontId="0" fillId="7" borderId="0" xfId="0" applyFill="1" applyAlignment="1">
      <alignment horizontal="right" indent="2"/>
    </xf>
    <xf numFmtId="0" fontId="0" fillId="4" borderId="0" xfId="0" applyFill="1" applyAlignment="1">
      <alignment vertical="top" wrapText="1"/>
    </xf>
    <xf numFmtId="0" fontId="2" fillId="5" borderId="1" xfId="0" applyFont="1" applyFill="1" applyBorder="1"/>
    <xf numFmtId="164" fontId="0" fillId="16" borderId="0" xfId="1" applyNumberFormat="1" applyFont="1" applyFill="1"/>
    <xf numFmtId="164" fontId="0" fillId="18" borderId="0" xfId="1" applyNumberFormat="1" applyFont="1" applyFill="1"/>
    <xf numFmtId="0" fontId="0" fillId="19" borderId="0" xfId="0" applyFill="1"/>
    <xf numFmtId="0" fontId="0" fillId="15" borderId="0" xfId="0" applyFill="1"/>
    <xf numFmtId="0" fontId="6" fillId="0" borderId="0" xfId="0" applyFont="1"/>
    <xf numFmtId="0" fontId="2" fillId="17" borderId="1" xfId="0" applyFont="1" applyFill="1" applyBorder="1" applyAlignment="1">
      <alignment wrapText="1"/>
    </xf>
    <xf numFmtId="164" fontId="0" fillId="14" borderId="0" xfId="0" applyNumberFormat="1" applyFill="1"/>
    <xf numFmtId="0" fontId="0" fillId="9" borderId="0" xfId="0" applyFill="1"/>
    <xf numFmtId="164" fontId="0" fillId="12" borderId="0" xfId="1" applyNumberFormat="1" applyFont="1" applyFill="1" applyBorder="1"/>
    <xf numFmtId="164" fontId="1" fillId="12" borderId="0" xfId="1" applyNumberFormat="1" applyFont="1" applyFill="1" applyBorder="1" applyAlignment="1">
      <alignment vertical="center"/>
    </xf>
    <xf numFmtId="0" fontId="0" fillId="21" borderId="0" xfId="0" applyFill="1"/>
    <xf numFmtId="0" fontId="0" fillId="0" borderId="3" xfId="0" applyBorder="1"/>
    <xf numFmtId="0" fontId="0" fillId="6" borderId="0" xfId="0" applyFill="1"/>
    <xf numFmtId="164" fontId="0" fillId="6" borderId="0" xfId="0" applyNumberFormat="1" applyFill="1"/>
    <xf numFmtId="44" fontId="0" fillId="0" borderId="0" xfId="0" applyNumberFormat="1"/>
    <xf numFmtId="0" fontId="0" fillId="12" borderId="0" xfId="0" applyFill="1"/>
    <xf numFmtId="44" fontId="0" fillId="12" borderId="0" xfId="1" applyFont="1" applyFill="1"/>
    <xf numFmtId="9" fontId="0" fillId="12" borderId="0" xfId="0" applyNumberFormat="1" applyFill="1"/>
    <xf numFmtId="164" fontId="0" fillId="20" borderId="0" xfId="0" applyNumberFormat="1" applyFill="1"/>
    <xf numFmtId="164" fontId="0" fillId="12" borderId="0" xfId="1" applyNumberFormat="1" applyFont="1" applyFill="1" applyAlignment="1">
      <alignment horizontal="center"/>
    </xf>
    <xf numFmtId="164" fontId="0" fillId="23" borderId="0" xfId="1" applyNumberFormat="1" applyFont="1" applyFill="1"/>
    <xf numFmtId="164" fontId="0" fillId="23" borderId="0" xfId="0" applyNumberFormat="1" applyFill="1"/>
    <xf numFmtId="164" fontId="0" fillId="22" borderId="0" xfId="1" applyNumberFormat="1" applyFont="1" applyFill="1"/>
    <xf numFmtId="9" fontId="1" fillId="12" borderId="0" xfId="2" applyFont="1" applyFill="1" applyBorder="1" applyAlignment="1">
      <alignment vertical="center"/>
    </xf>
    <xf numFmtId="9" fontId="1" fillId="12" borderId="0" xfId="2" applyFont="1" applyFill="1" applyAlignment="1">
      <alignment vertical="center"/>
    </xf>
    <xf numFmtId="164" fontId="0" fillId="24" borderId="0" xfId="1" applyNumberFormat="1" applyFont="1" applyFill="1"/>
    <xf numFmtId="0" fontId="2" fillId="25" borderId="1" xfId="0" applyFont="1" applyFill="1" applyBorder="1" applyAlignment="1">
      <alignment wrapText="1"/>
    </xf>
    <xf numFmtId="0" fontId="0" fillId="0" borderId="12" xfId="0" applyBorder="1"/>
    <xf numFmtId="0" fontId="0" fillId="0" borderId="13" xfId="0" applyBorder="1"/>
    <xf numFmtId="164" fontId="0" fillId="12" borderId="9" xfId="1" applyNumberFormat="1" applyFont="1" applyFill="1" applyBorder="1"/>
    <xf numFmtId="164" fontId="0" fillId="0" borderId="5" xfId="0" applyNumberFormat="1" applyBorder="1"/>
    <xf numFmtId="0" fontId="0" fillId="0" borderId="6" xfId="0" applyBorder="1"/>
    <xf numFmtId="0" fontId="0" fillId="0" borderId="14" xfId="0" applyBorder="1"/>
    <xf numFmtId="164" fontId="0" fillId="0" borderId="15" xfId="1" applyNumberFormat="1" applyFont="1" applyBorder="1"/>
    <xf numFmtId="164" fontId="0" fillId="12" borderId="15" xfId="1" applyNumberFormat="1" applyFont="1" applyFill="1" applyBorder="1"/>
    <xf numFmtId="164" fontId="0" fillId="0" borderId="10" xfId="0" applyNumberFormat="1" applyBorder="1"/>
    <xf numFmtId="164" fontId="0" fillId="0" borderId="7" xfId="1" applyNumberFormat="1" applyFont="1" applyBorder="1"/>
    <xf numFmtId="164" fontId="0" fillId="0" borderId="11" xfId="0" applyNumberFormat="1" applyBorder="1"/>
    <xf numFmtId="0" fontId="0" fillId="0" borderId="16" xfId="0" applyBorder="1"/>
    <xf numFmtId="164" fontId="0" fillId="0" borderId="3" xfId="0" applyNumberFormat="1" applyBorder="1"/>
    <xf numFmtId="164" fontId="0" fillId="0" borderId="10" xfId="1" applyNumberFormat="1" applyFont="1" applyBorder="1"/>
    <xf numFmtId="165" fontId="0" fillId="0" borderId="0" xfId="0" applyNumberFormat="1"/>
    <xf numFmtId="0" fontId="0" fillId="0" borderId="8" xfId="0" applyBorder="1"/>
    <xf numFmtId="0" fontId="0" fillId="0" borderId="4" xfId="0" applyBorder="1"/>
    <xf numFmtId="9" fontId="0" fillId="0" borderId="16" xfId="2" applyFont="1" applyBorder="1"/>
    <xf numFmtId="9" fontId="0" fillId="0" borderId="13" xfId="2" applyFont="1" applyBorder="1"/>
    <xf numFmtId="9" fontId="0" fillId="0" borderId="15" xfId="2" applyFont="1" applyBorder="1"/>
    <xf numFmtId="9" fontId="0" fillId="0" borderId="9" xfId="2" applyFont="1" applyBorder="1"/>
    <xf numFmtId="9" fontId="0" fillId="0" borderId="10" xfId="2" applyFont="1" applyBorder="1"/>
    <xf numFmtId="9" fontId="0" fillId="0" borderId="5" xfId="2" applyFont="1" applyBorder="1"/>
    <xf numFmtId="44" fontId="0" fillId="0" borderId="0" xfId="0" applyNumberFormat="1" applyAlignment="1">
      <alignment horizontal="left" vertical="top" wrapText="1"/>
    </xf>
    <xf numFmtId="164" fontId="0" fillId="0" borderId="8" xfId="1" applyNumberFormat="1" applyFont="1" applyBorder="1"/>
    <xf numFmtId="164" fontId="0" fillId="0" borderId="15" xfId="0" applyNumberFormat="1" applyBorder="1"/>
    <xf numFmtId="164" fontId="0" fillId="0" borderId="4" xfId="1" applyNumberFormat="1" applyFont="1" applyBorder="1"/>
    <xf numFmtId="166" fontId="0" fillId="0" borderId="0" xfId="0" applyNumberFormat="1"/>
    <xf numFmtId="164" fontId="0" fillId="0" borderId="0" xfId="1" applyNumberFormat="1" applyFont="1" applyFill="1" applyBorder="1"/>
    <xf numFmtId="0" fontId="0" fillId="26" borderId="0" xfId="0" applyFill="1"/>
    <xf numFmtId="164" fontId="0" fillId="15" borderId="0" xfId="1" applyNumberFormat="1" applyFont="1" applyFill="1"/>
    <xf numFmtId="164" fontId="0" fillId="9" borderId="0" xfId="1" applyNumberFormat="1" applyFont="1" applyFill="1"/>
    <xf numFmtId="0" fontId="2" fillId="0" borderId="0" xfId="0" applyFont="1" applyAlignment="1">
      <alignment horizontal="center"/>
    </xf>
    <xf numFmtId="164" fontId="0" fillId="3" borderId="16" xfId="1" applyNumberFormat="1" applyFont="1" applyFill="1" applyBorder="1" applyAlignment="1">
      <alignment vertical="top"/>
    </xf>
    <xf numFmtId="164" fontId="0" fillId="3" borderId="10" xfId="1" applyNumberFormat="1" applyFont="1" applyFill="1" applyBorder="1" applyAlignment="1">
      <alignment vertical="top"/>
    </xf>
    <xf numFmtId="164" fontId="0" fillId="14" borderId="0" xfId="1" applyNumberFormat="1" applyFont="1" applyFill="1"/>
    <xf numFmtId="0" fontId="7" fillId="5" borderId="1" xfId="0" applyFont="1" applyFill="1" applyBorder="1"/>
    <xf numFmtId="164" fontId="0" fillId="3" borderId="16" xfId="1" applyNumberFormat="1" applyFont="1" applyFill="1" applyBorder="1"/>
    <xf numFmtId="164" fontId="0" fillId="3" borderId="15" xfId="1" applyNumberFormat="1" applyFont="1" applyFill="1" applyBorder="1"/>
    <xf numFmtId="164" fontId="0" fillId="3" borderId="10" xfId="1" applyNumberFormat="1" applyFont="1" applyFill="1" applyBorder="1"/>
    <xf numFmtId="0" fontId="0" fillId="12" borderId="0" xfId="1" applyNumberFormat="1" applyFont="1" applyFill="1" applyBorder="1"/>
    <xf numFmtId="0" fontId="0" fillId="0" borderId="18" xfId="0" applyBorder="1"/>
    <xf numFmtId="0" fontId="0" fillId="0" borderId="0" xfId="1" applyNumberFormat="1" applyFont="1" applyFill="1" applyBorder="1"/>
    <xf numFmtId="10" fontId="0" fillId="8" borderId="0" xfId="2" applyNumberFormat="1" applyFont="1" applyFill="1"/>
    <xf numFmtId="44" fontId="0" fillId="0" borderId="0" xfId="1" applyFont="1" applyFill="1"/>
    <xf numFmtId="9" fontId="0" fillId="0" borderId="0" xfId="2" applyFont="1" applyFill="1"/>
    <xf numFmtId="9" fontId="0" fillId="3" borderId="3" xfId="2" applyFont="1" applyFill="1" applyBorder="1"/>
    <xf numFmtId="0" fontId="0" fillId="3" borderId="0" xfId="0" applyFill="1" applyAlignment="1">
      <alignment wrapText="1"/>
    </xf>
    <xf numFmtId="164" fontId="0" fillId="3" borderId="6" xfId="1" applyNumberFormat="1" applyFont="1" applyFill="1" applyBorder="1"/>
    <xf numFmtId="164" fontId="0" fillId="3" borderId="11" xfId="1" applyNumberFormat="1" applyFont="1" applyFill="1" applyBorder="1"/>
    <xf numFmtId="164" fontId="0" fillId="0" borderId="0" xfId="1" applyNumberFormat="1" applyFont="1" applyBorder="1"/>
    <xf numFmtId="0" fontId="0" fillId="27" borderId="0" xfId="0" applyFill="1" applyAlignment="1">
      <alignment wrapText="1"/>
    </xf>
    <xf numFmtId="164" fontId="0" fillId="27" borderId="16" xfId="1" applyNumberFormat="1" applyFont="1" applyFill="1" applyBorder="1"/>
    <xf numFmtId="164" fontId="0" fillId="27" borderId="15" xfId="1" applyNumberFormat="1" applyFont="1" applyFill="1" applyBorder="1"/>
    <xf numFmtId="164" fontId="0" fillId="27" borderId="10" xfId="1" applyNumberFormat="1" applyFont="1" applyFill="1" applyBorder="1"/>
    <xf numFmtId="164" fontId="0" fillId="27" borderId="10" xfId="1" applyNumberFormat="1" applyFont="1" applyFill="1" applyBorder="1" applyAlignment="1">
      <alignment horizontal="center"/>
    </xf>
    <xf numFmtId="164" fontId="0" fillId="27" borderId="3" xfId="1" applyNumberFormat="1" applyFont="1" applyFill="1" applyBorder="1"/>
    <xf numFmtId="164" fontId="0" fillId="27" borderId="15" xfId="1" applyNumberFormat="1" applyFont="1" applyFill="1" applyBorder="1" applyAlignment="1">
      <alignment horizontal="center"/>
    </xf>
    <xf numFmtId="0" fontId="0" fillId="24" borderId="3" xfId="0" applyFill="1" applyBorder="1"/>
    <xf numFmtId="9" fontId="0" fillId="24" borderId="16" xfId="2" applyFont="1" applyFill="1" applyBorder="1" applyAlignment="1">
      <alignment horizontal="center"/>
    </xf>
    <xf numFmtId="9" fontId="0" fillId="24" borderId="15" xfId="2" applyFont="1" applyFill="1" applyBorder="1" applyAlignment="1">
      <alignment horizontal="center"/>
    </xf>
    <xf numFmtId="9" fontId="0" fillId="24" borderId="10" xfId="2" applyFont="1" applyFill="1" applyBorder="1" applyAlignment="1">
      <alignment horizontal="center"/>
    </xf>
    <xf numFmtId="164" fontId="0" fillId="3" borderId="12" xfId="1" applyNumberFormat="1" applyFont="1" applyFill="1" applyBorder="1"/>
    <xf numFmtId="164" fontId="0" fillId="3" borderId="4" xfId="1" applyNumberFormat="1" applyFont="1" applyFill="1" applyBorder="1"/>
    <xf numFmtId="164" fontId="0" fillId="6" borderId="0" xfId="1" applyNumberFormat="1" applyFont="1" applyFill="1" applyBorder="1"/>
    <xf numFmtId="164" fontId="0" fillId="11" borderId="0" xfId="1" applyNumberFormat="1" applyFont="1" applyFill="1"/>
    <xf numFmtId="0" fontId="0" fillId="6" borderId="0" xfId="1" applyNumberFormat="1" applyFont="1" applyFill="1" applyBorder="1"/>
    <xf numFmtId="10" fontId="0" fillId="6" borderId="0" xfId="2" applyNumberFormat="1" applyFont="1" applyFill="1" applyBorder="1"/>
    <xf numFmtId="9" fontId="0" fillId="14" borderId="0" xfId="2" applyFont="1" applyFill="1" applyBorder="1"/>
    <xf numFmtId="164" fontId="0" fillId="15" borderId="0" xfId="1" applyNumberFormat="1" applyFont="1" applyFill="1" applyBorder="1"/>
    <xf numFmtId="164" fontId="0" fillId="13" borderId="0" xfId="1" applyNumberFormat="1" applyFont="1" applyFill="1" applyBorder="1"/>
    <xf numFmtId="9" fontId="1" fillId="3" borderId="6" xfId="2" applyFont="1" applyFill="1" applyBorder="1" applyAlignment="1">
      <alignment vertical="center"/>
    </xf>
    <xf numFmtId="9" fontId="1" fillId="3" borderId="14" xfId="2" applyFont="1" applyFill="1" applyBorder="1" applyAlignment="1">
      <alignment vertical="center"/>
    </xf>
    <xf numFmtId="9" fontId="0" fillId="3" borderId="14" xfId="2" applyFont="1" applyFill="1" applyBorder="1"/>
    <xf numFmtId="9" fontId="0" fillId="3" borderId="11" xfId="2" applyFont="1" applyFill="1" applyBorder="1"/>
    <xf numFmtId="0" fontId="0" fillId="0" borderId="2" xfId="0" applyBorder="1"/>
    <xf numFmtId="164" fontId="0" fillId="4" borderId="0" xfId="1" applyNumberFormat="1" applyFont="1" applyFill="1" applyBorder="1" applyAlignment="1">
      <alignment horizontal="center"/>
    </xf>
    <xf numFmtId="164" fontId="0" fillId="3" borderId="8" xfId="1" applyNumberFormat="1" applyFont="1" applyFill="1" applyBorder="1"/>
    <xf numFmtId="164" fontId="0" fillId="23" borderId="0" xfId="1" applyNumberFormat="1" applyFont="1" applyFill="1" applyBorder="1"/>
    <xf numFmtId="164" fontId="0" fillId="28" borderId="15" xfId="1" applyNumberFormat="1" applyFont="1" applyFill="1" applyBorder="1" applyAlignment="1">
      <alignment horizontal="center"/>
    </xf>
    <xf numFmtId="164" fontId="0" fillId="28" borderId="10" xfId="1" applyNumberFormat="1" applyFont="1" applyFill="1" applyBorder="1"/>
    <xf numFmtId="164" fontId="0" fillId="29" borderId="0" xfId="1" applyNumberFormat="1" applyFont="1" applyFill="1" applyBorder="1"/>
    <xf numFmtId="44" fontId="0" fillId="3" borderId="16" xfId="1" applyFont="1" applyFill="1" applyBorder="1"/>
    <xf numFmtId="44" fontId="0" fillId="3" borderId="10" xfId="1" applyFont="1" applyFill="1" applyBorder="1"/>
    <xf numFmtId="0" fontId="0" fillId="0" borderId="0" xfId="0" applyAlignment="1">
      <alignment horizontal="right" vertical="top"/>
    </xf>
    <xf numFmtId="164" fontId="0" fillId="11" borderId="0" xfId="1" applyNumberFormat="1" applyFont="1" applyFill="1" applyBorder="1"/>
    <xf numFmtId="164" fontId="0" fillId="14" borderId="0" xfId="1" applyNumberFormat="1" applyFont="1" applyFill="1" applyBorder="1"/>
    <xf numFmtId="164" fontId="1" fillId="6" borderId="0" xfId="1" applyNumberFormat="1" applyFont="1" applyFill="1" applyBorder="1" applyAlignment="1">
      <alignment vertical="center"/>
    </xf>
    <xf numFmtId="164" fontId="0" fillId="11" borderId="0" xfId="0" applyNumberFormat="1" applyFill="1"/>
    <xf numFmtId="164" fontId="0" fillId="20" borderId="0" xfId="1" applyNumberFormat="1" applyFont="1" applyFill="1" applyBorder="1"/>
    <xf numFmtId="0" fontId="0" fillId="0" borderId="7" xfId="0" applyBorder="1"/>
    <xf numFmtId="0" fontId="2" fillId="0" borderId="7" xfId="0" applyFont="1" applyBorder="1" applyAlignment="1">
      <alignment horizontal="center"/>
    </xf>
    <xf numFmtId="164" fontId="0" fillId="9" borderId="0" xfId="1" applyNumberFormat="1" applyFont="1" applyFill="1" applyBorder="1"/>
    <xf numFmtId="10" fontId="0" fillId="6" borderId="0" xfId="2" applyNumberFormat="1" applyFont="1" applyFill="1"/>
    <xf numFmtId="9" fontId="0" fillId="3" borderId="3" xfId="0" applyNumberFormat="1" applyFill="1" applyBorder="1"/>
    <xf numFmtId="0" fontId="0" fillId="0" borderId="0" xfId="0" applyAlignment="1">
      <alignment horizontal="center" vertical="center"/>
    </xf>
    <xf numFmtId="0" fontId="0" fillId="24" borderId="0" xfId="0" applyFill="1"/>
    <xf numFmtId="0" fontId="0" fillId="24" borderId="0" xfId="0" applyFill="1" applyAlignment="1">
      <alignment horizontal="right"/>
    </xf>
    <xf numFmtId="0" fontId="0" fillId="5" borderId="0" xfId="0" applyFill="1" applyAlignment="1">
      <alignment horizontal="center"/>
    </xf>
    <xf numFmtId="0" fontId="0" fillId="24" borderId="0" xfId="0" applyFill="1" applyAlignment="1">
      <alignment horizontal="center"/>
    </xf>
    <xf numFmtId="0" fontId="0" fillId="31" borderId="0" xfId="0" applyFill="1" applyAlignment="1">
      <alignment horizontal="center"/>
    </xf>
    <xf numFmtId="0" fontId="0" fillId="30" borderId="0" xfId="0" applyFill="1" applyAlignment="1">
      <alignment horizontal="center"/>
    </xf>
    <xf numFmtId="164" fontId="2" fillId="0" borderId="0" xfId="1" applyNumberFormat="1" applyFont="1" applyBorder="1" applyAlignment="1">
      <alignment horizontal="center"/>
    </xf>
    <xf numFmtId="164" fontId="0" fillId="12" borderId="0" xfId="1" applyNumberFormat="1" applyFont="1" applyFill="1" applyBorder="1" applyAlignment="1">
      <alignment horizontal="center"/>
    </xf>
    <xf numFmtId="9" fontId="0" fillId="0" borderId="0" xfId="2" applyFont="1" applyFill="1" applyBorder="1" applyAlignment="1">
      <alignment horizontal="center"/>
    </xf>
    <xf numFmtId="9" fontId="0" fillId="8" borderId="0" xfId="2" applyFont="1" applyFill="1" applyBorder="1"/>
    <xf numFmtId="164" fontId="0" fillId="16" borderId="0" xfId="1" applyNumberFormat="1" applyFont="1" applyFill="1" applyBorder="1"/>
    <xf numFmtId="9" fontId="0" fillId="12" borderId="0" xfId="2" applyFont="1" applyFill="1" applyBorder="1"/>
    <xf numFmtId="164" fontId="0" fillId="0" borderId="0" xfId="1" applyNumberFormat="1" applyFont="1" applyBorder="1" applyAlignment="1">
      <alignment horizontal="right"/>
    </xf>
    <xf numFmtId="164" fontId="0" fillId="14" borderId="0" xfId="1" applyNumberFormat="1" applyFont="1" applyFill="1" applyBorder="1" applyAlignment="1">
      <alignment horizontal="right"/>
    </xf>
    <xf numFmtId="9" fontId="0" fillId="3" borderId="16" xfId="2" applyFont="1" applyFill="1" applyBorder="1" applyAlignment="1">
      <alignment horizontal="center"/>
    </xf>
    <xf numFmtId="9" fontId="0" fillId="3" borderId="15" xfId="2" applyFont="1" applyFill="1" applyBorder="1" applyAlignment="1">
      <alignment horizontal="center"/>
    </xf>
    <xf numFmtId="9" fontId="0" fillId="3" borderId="10" xfId="2" applyFont="1" applyFill="1" applyBorder="1" applyAlignment="1">
      <alignment horizontal="center"/>
    </xf>
    <xf numFmtId="9" fontId="0" fillId="0" borderId="0" xfId="2" applyFont="1" applyFill="1" applyBorder="1"/>
    <xf numFmtId="44" fontId="0" fillId="23" borderId="0" xfId="1" applyFont="1" applyFill="1"/>
    <xf numFmtId="164" fontId="0" fillId="28" borderId="16" xfId="1" applyNumberFormat="1" applyFont="1" applyFill="1" applyBorder="1"/>
    <xf numFmtId="164" fontId="0" fillId="28" borderId="15" xfId="1" applyNumberFormat="1" applyFont="1" applyFill="1" applyBorder="1"/>
    <xf numFmtId="164" fontId="0" fillId="28" borderId="3" xfId="1" applyNumberFormat="1" applyFont="1" applyFill="1" applyBorder="1"/>
    <xf numFmtId="0" fontId="2" fillId="26" borderId="1" xfId="0" applyFont="1" applyFill="1" applyBorder="1"/>
    <xf numFmtId="164" fontId="0" fillId="28" borderId="10" xfId="1" applyNumberFormat="1" applyFont="1" applyFill="1" applyBorder="1" applyAlignment="1">
      <alignment horizontal="center"/>
    </xf>
    <xf numFmtId="0" fontId="0" fillId="0" borderId="17" xfId="0" applyBorder="1"/>
    <xf numFmtId="0" fontId="0" fillId="12" borderId="17" xfId="0" applyFill="1" applyBorder="1"/>
    <xf numFmtId="9" fontId="0" fillId="0" borderId="17" xfId="0" applyNumberFormat="1" applyBorder="1"/>
    <xf numFmtId="164" fontId="0" fillId="0" borderId="17" xfId="1" applyNumberFormat="1" applyFont="1" applyBorder="1"/>
    <xf numFmtId="164" fontId="0" fillId="0" borderId="17" xfId="0" applyNumberFormat="1" applyBorder="1"/>
    <xf numFmtId="164" fontId="0" fillId="12" borderId="16" xfId="1" applyNumberFormat="1" applyFont="1" applyFill="1" applyBorder="1"/>
    <xf numFmtId="164" fontId="0" fillId="0" borderId="17" xfId="1" applyNumberFormat="1" applyFont="1" applyFill="1" applyBorder="1"/>
    <xf numFmtId="164" fontId="0" fillId="12" borderId="13" xfId="1" applyNumberFormat="1" applyFont="1" applyFill="1" applyBorder="1"/>
    <xf numFmtId="0" fontId="0" fillId="0" borderId="9" xfId="0" applyBorder="1"/>
    <xf numFmtId="0" fontId="0" fillId="12" borderId="7" xfId="0" applyFill="1" applyBorder="1"/>
    <xf numFmtId="9" fontId="0" fillId="12" borderId="7" xfId="0" applyNumberFormat="1" applyFill="1" applyBorder="1"/>
    <xf numFmtId="164" fontId="0" fillId="12" borderId="7" xfId="1" applyNumberFormat="1" applyFont="1" applyFill="1" applyBorder="1"/>
    <xf numFmtId="164" fontId="0" fillId="12" borderId="10" xfId="1" applyNumberFormat="1" applyFont="1" applyFill="1" applyBorder="1"/>
    <xf numFmtId="164" fontId="0" fillId="12" borderId="5" xfId="1" applyNumberFormat="1" applyFont="1" applyFill="1" applyBorder="1"/>
    <xf numFmtId="44" fontId="0" fillId="0" borderId="17" xfId="1" applyFont="1" applyBorder="1"/>
    <xf numFmtId="164" fontId="0" fillId="0" borderId="13" xfId="0" applyNumberFormat="1" applyBorder="1"/>
    <xf numFmtId="44" fontId="0" fillId="0" borderId="0" xfId="1" applyFont="1" applyBorder="1"/>
    <xf numFmtId="164" fontId="0" fillId="12" borderId="5" xfId="0" applyNumberFormat="1" applyFill="1" applyBorder="1"/>
    <xf numFmtId="164" fontId="0" fillId="12" borderId="4" xfId="1" applyNumberFormat="1" applyFont="1" applyFill="1" applyBorder="1"/>
    <xf numFmtId="164" fontId="0" fillId="0" borderId="9" xfId="0" applyNumberFormat="1" applyBorder="1"/>
    <xf numFmtId="164" fontId="0" fillId="14" borderId="12" xfId="1" applyNumberFormat="1" applyFont="1" applyFill="1" applyBorder="1"/>
    <xf numFmtId="164" fontId="0" fillId="14" borderId="8" xfId="1" applyNumberFormat="1" applyFont="1" applyFill="1" applyBorder="1"/>
    <xf numFmtId="164" fontId="0" fillId="14" borderId="16" xfId="1" applyNumberFormat="1" applyFont="1" applyFill="1" applyBorder="1"/>
    <xf numFmtId="164" fontId="0" fillId="14" borderId="15" xfId="1" applyNumberFormat="1" applyFont="1" applyFill="1" applyBorder="1"/>
    <xf numFmtId="164" fontId="0" fillId="14" borderId="17" xfId="1" applyNumberFormat="1" applyFont="1" applyFill="1" applyBorder="1"/>
    <xf numFmtId="164" fontId="0" fillId="14" borderId="13" xfId="1" applyNumberFormat="1" applyFont="1" applyFill="1" applyBorder="1"/>
    <xf numFmtId="164" fontId="0" fillId="14" borderId="9" xfId="1" applyNumberFormat="1" applyFont="1" applyFill="1" applyBorder="1"/>
    <xf numFmtId="164" fontId="1" fillId="2" borderId="0" xfId="1" applyNumberFormat="1" applyFont="1" applyFill="1" applyBorder="1" applyAlignment="1">
      <alignment vertical="center"/>
    </xf>
    <xf numFmtId="164" fontId="0" fillId="15" borderId="15" xfId="1" applyNumberFormat="1" applyFont="1" applyFill="1" applyBorder="1"/>
    <xf numFmtId="164" fontId="0" fillId="12" borderId="9" xfId="0" applyNumberFormat="1" applyFill="1" applyBorder="1"/>
    <xf numFmtId="0" fontId="7" fillId="17" borderId="1" xfId="0" applyFont="1" applyFill="1" applyBorder="1"/>
    <xf numFmtId="0" fontId="7" fillId="25" borderId="1" xfId="0" applyFont="1" applyFill="1" applyBorder="1" applyAlignment="1">
      <alignment wrapText="1"/>
    </xf>
    <xf numFmtId="0" fontId="7" fillId="17" borderId="1" xfId="0" applyFont="1" applyFill="1" applyBorder="1" applyAlignment="1">
      <alignment wrapText="1"/>
    </xf>
    <xf numFmtId="164" fontId="0" fillId="11" borderId="0" xfId="1" applyNumberFormat="1" applyFont="1" applyFill="1" applyAlignment="1">
      <alignment horizontal="right"/>
    </xf>
    <xf numFmtId="164" fontId="0" fillId="32" borderId="0" xfId="0" applyNumberFormat="1" applyFill="1"/>
    <xf numFmtId="0" fontId="0" fillId="26" borderId="12" xfId="0" applyFill="1" applyBorder="1"/>
    <xf numFmtId="0" fontId="0" fillId="15" borderId="8" xfId="0" applyFill="1" applyBorder="1"/>
    <xf numFmtId="0" fontId="0" fillId="14" borderId="4" xfId="0" applyFill="1" applyBorder="1"/>
    <xf numFmtId="0" fontId="0" fillId="12" borderId="0" xfId="0" applyFill="1" applyAlignment="1">
      <alignment horizontal="left" indent="2"/>
    </xf>
    <xf numFmtId="0" fontId="0" fillId="0" borderId="0" xfId="0" applyAlignment="1">
      <alignment horizontal="left" vertical="top" wrapText="1"/>
    </xf>
    <xf numFmtId="0" fontId="0" fillId="33" borderId="0" xfId="0" applyFill="1" applyAlignment="1">
      <alignment horizontal="left" indent="2"/>
    </xf>
    <xf numFmtId="44" fontId="0" fillId="21" borderId="0" xfId="1" applyFont="1" applyFill="1" applyBorder="1"/>
    <xf numFmtId="44" fontId="0" fillId="21" borderId="0" xfId="1" applyFont="1" applyFill="1"/>
    <xf numFmtId="164" fontId="0" fillId="21" borderId="0" xfId="1" applyNumberFormat="1" applyFont="1" applyFill="1"/>
    <xf numFmtId="164" fontId="0" fillId="21" borderId="0" xfId="1" applyNumberFormat="1" applyFont="1" applyFill="1" applyBorder="1"/>
    <xf numFmtId="0" fontId="0" fillId="0" borderId="0" xfId="0" applyAlignment="1">
      <alignment horizontal="left" vertical="top" wrapText="1"/>
    </xf>
    <xf numFmtId="0" fontId="0" fillId="14" borderId="0" xfId="0" applyFill="1" applyAlignment="1">
      <alignment horizontal="center"/>
    </xf>
    <xf numFmtId="0" fontId="0" fillId="0" borderId="12" xfId="0" applyBorder="1" applyAlignment="1">
      <alignment horizontal="center"/>
    </xf>
    <xf numFmtId="0" fontId="0" fillId="0" borderId="17" xfId="0" applyBorder="1" applyAlignment="1">
      <alignment horizontal="center"/>
    </xf>
    <xf numFmtId="0" fontId="0" fillId="0" borderId="13" xfId="0" applyBorder="1" applyAlignment="1">
      <alignment horizontal="center"/>
    </xf>
  </cellXfs>
  <cellStyles count="3">
    <cellStyle name="Currency" xfId="1" builtinId="4"/>
    <cellStyle name="Normal" xfId="0" builtinId="0"/>
    <cellStyle name="Percent" xfId="2" builtinId="5"/>
  </cellStyles>
  <dxfs count="0"/>
  <tableStyles count="0" defaultTableStyle="TableStyleMedium2" defaultPivotStyle="PivotStyleLight16"/>
  <colors>
    <mruColors>
      <color rgb="FFFF9933"/>
      <color rgb="FFFFFFCC"/>
      <color rgb="FFFFCCCC"/>
      <color rgb="FFCCECFF"/>
      <color rgb="FF66FFFF"/>
      <color rgb="FFCCFF66"/>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cap="all" spc="150" baseline="0">
                <a:solidFill>
                  <a:schemeClr val="tx1">
                    <a:lumMod val="50000"/>
                    <a:lumOff val="50000"/>
                  </a:schemeClr>
                </a:solidFill>
                <a:latin typeface="+mn-lt"/>
                <a:ea typeface="+mn-ea"/>
                <a:cs typeface="+mn-cs"/>
              </a:defRPr>
            </a:pPr>
            <a:r>
              <a:rPr lang="en-US"/>
              <a:t>Title</a:t>
            </a:r>
          </a:p>
        </c:rich>
      </c:tx>
      <c:overlay val="0"/>
      <c:spPr>
        <a:noFill/>
        <a:ln>
          <a:noFill/>
        </a:ln>
        <a:effectLst/>
      </c:spPr>
      <c:txPr>
        <a:bodyPr rot="0" spcFirstLastPara="1" vertOverflow="ellipsis" vert="horz" wrap="square" anchor="ctr" anchorCtr="1"/>
        <a:lstStyle/>
        <a:p>
          <a:pPr>
            <a:defRPr sz="1800" b="1" i="0" u="none" strike="noStrike" kern="1200" cap="all" spc="150" baseline="0">
              <a:solidFill>
                <a:schemeClr val="tx1">
                  <a:lumMod val="50000"/>
                  <a:lumOff val="50000"/>
                </a:schemeClr>
              </a:solidFill>
              <a:latin typeface="+mn-lt"/>
              <a:ea typeface="+mn-ea"/>
              <a:cs typeface="+mn-cs"/>
            </a:defRPr>
          </a:pPr>
          <a:endParaRPr lang="en-US"/>
        </a:p>
      </c:txPr>
    </c:title>
    <c:autoTitleDeleted val="0"/>
    <c:plotArea>
      <c:layout/>
      <c:barChart>
        <c:barDir val="col"/>
        <c:grouping val="clustered"/>
        <c:varyColors val="0"/>
        <c:ser>
          <c:idx val="0"/>
          <c:order val="0"/>
          <c:tx>
            <c:strRef>
              <c:f>'Bld-Sep Comparison'!$L$32</c:f>
              <c:strCache>
                <c:ptCount val="1"/>
                <c:pt idx="0">
                  <c:v>Receipts</c:v>
                </c:pt>
              </c:strCache>
            </c:strRef>
          </c:tx>
          <c:spPr>
            <a:pattFill prst="narHorz">
              <a:fgClr>
                <a:schemeClr val="accent1"/>
              </a:fgClr>
              <a:bgClr>
                <a:schemeClr val="accent1">
                  <a:lumMod val="20000"/>
                  <a:lumOff val="80000"/>
                </a:schemeClr>
              </a:bgClr>
            </a:pattFill>
            <a:ln>
              <a:noFill/>
            </a:ln>
            <a:effectLst>
              <a:innerShdw blurRad="114300">
                <a:schemeClr val="accent1"/>
              </a:innerShdw>
            </a:effectLst>
          </c:spPr>
          <c:invertIfNegative val="0"/>
          <c:cat>
            <c:strRef>
              <c:f>'Bld-Sep Comparison'!$M$31:$P$31</c:f>
              <c:strCache>
                <c:ptCount val="4"/>
                <c:pt idx="0">
                  <c:v>State A</c:v>
                </c:pt>
                <c:pt idx="1">
                  <c:v>State B</c:v>
                </c:pt>
                <c:pt idx="2">
                  <c:v>State C</c:v>
                </c:pt>
                <c:pt idx="3">
                  <c:v>State D</c:v>
                </c:pt>
              </c:strCache>
            </c:strRef>
          </c:cat>
          <c:val>
            <c:numRef>
              <c:f>'Bld-Sep Comparison'!$M$32:$P$32</c:f>
              <c:numCache>
                <c:formatCode>0%</c:formatCode>
                <c:ptCount val="4"/>
                <c:pt idx="0">
                  <c:v>0.6</c:v>
                </c:pt>
                <c:pt idx="1">
                  <c:v>0</c:v>
                </c:pt>
                <c:pt idx="2">
                  <c:v>0.2</c:v>
                </c:pt>
                <c:pt idx="3">
                  <c:v>0.2</c:v>
                </c:pt>
              </c:numCache>
            </c:numRef>
          </c:val>
          <c:extLst>
            <c:ext xmlns:c16="http://schemas.microsoft.com/office/drawing/2014/chart" uri="{C3380CC4-5D6E-409C-BE32-E72D297353CC}">
              <c16:uniqueId val="{00000000-6C7C-4B39-A334-8461C36A5305}"/>
            </c:ext>
          </c:extLst>
        </c:ser>
        <c:ser>
          <c:idx val="1"/>
          <c:order val="1"/>
          <c:tx>
            <c:strRef>
              <c:f>'Bld-Sep Comparison'!$L$33</c:f>
              <c:strCache>
                <c:ptCount val="1"/>
                <c:pt idx="0">
                  <c:v>Blended</c:v>
                </c:pt>
              </c:strCache>
            </c:strRef>
          </c:tx>
          <c:spPr>
            <a:pattFill prst="narHorz">
              <a:fgClr>
                <a:schemeClr val="accent2"/>
              </a:fgClr>
              <a:bgClr>
                <a:schemeClr val="accent2">
                  <a:lumMod val="20000"/>
                  <a:lumOff val="80000"/>
                </a:schemeClr>
              </a:bgClr>
            </a:pattFill>
            <a:ln>
              <a:noFill/>
            </a:ln>
            <a:effectLst>
              <a:innerShdw blurRad="114300">
                <a:schemeClr val="accent2"/>
              </a:innerShdw>
            </a:effectLst>
          </c:spPr>
          <c:invertIfNegative val="0"/>
          <c:cat>
            <c:strRef>
              <c:f>'Bld-Sep Comparison'!$M$31:$P$31</c:f>
              <c:strCache>
                <c:ptCount val="4"/>
                <c:pt idx="0">
                  <c:v>State A</c:v>
                </c:pt>
                <c:pt idx="1">
                  <c:v>State B</c:v>
                </c:pt>
                <c:pt idx="2">
                  <c:v>State C</c:v>
                </c:pt>
                <c:pt idx="3">
                  <c:v>State D</c:v>
                </c:pt>
              </c:strCache>
            </c:strRef>
          </c:cat>
          <c:val>
            <c:numRef>
              <c:f>'Bld-Sep Comparison'!$M$33:$P$33</c:f>
              <c:numCache>
                <c:formatCode>0%</c:formatCode>
                <c:ptCount val="4"/>
                <c:pt idx="0">
                  <c:v>0.59761273209549071</c:v>
                </c:pt>
                <c:pt idx="1">
                  <c:v>0</c:v>
                </c:pt>
                <c:pt idx="2">
                  <c:v>0.20318302387267906</c:v>
                </c:pt>
                <c:pt idx="3">
                  <c:v>0.19920424403183024</c:v>
                </c:pt>
              </c:numCache>
            </c:numRef>
          </c:val>
          <c:extLst>
            <c:ext xmlns:c16="http://schemas.microsoft.com/office/drawing/2014/chart" uri="{C3380CC4-5D6E-409C-BE32-E72D297353CC}">
              <c16:uniqueId val="{00000001-6C7C-4B39-A334-8461C36A5305}"/>
            </c:ext>
          </c:extLst>
        </c:ser>
        <c:ser>
          <c:idx val="2"/>
          <c:order val="2"/>
          <c:tx>
            <c:strRef>
              <c:f>'Bld-Sep Comparison'!$L$34</c:f>
              <c:strCache>
                <c:ptCount val="1"/>
                <c:pt idx="0">
                  <c:v>Separate</c:v>
                </c:pt>
              </c:strCache>
            </c:strRef>
          </c:tx>
          <c:spPr>
            <a:pattFill prst="narHorz">
              <a:fgClr>
                <a:schemeClr val="accent3"/>
              </a:fgClr>
              <a:bgClr>
                <a:schemeClr val="accent3">
                  <a:lumMod val="20000"/>
                  <a:lumOff val="80000"/>
                </a:schemeClr>
              </a:bgClr>
            </a:pattFill>
            <a:ln>
              <a:noFill/>
            </a:ln>
            <a:effectLst>
              <a:innerShdw blurRad="114300">
                <a:schemeClr val="accent3"/>
              </a:innerShdw>
            </a:effectLst>
          </c:spPr>
          <c:invertIfNegative val="0"/>
          <c:cat>
            <c:strRef>
              <c:f>'Bld-Sep Comparison'!$M$31:$P$31</c:f>
              <c:strCache>
                <c:ptCount val="4"/>
                <c:pt idx="0">
                  <c:v>State A</c:v>
                </c:pt>
                <c:pt idx="1">
                  <c:v>State B</c:v>
                </c:pt>
                <c:pt idx="2">
                  <c:v>State C</c:v>
                </c:pt>
                <c:pt idx="3">
                  <c:v>State D</c:v>
                </c:pt>
              </c:strCache>
            </c:strRef>
          </c:cat>
          <c:val>
            <c:numRef>
              <c:f>'Bld-Sep Comparison'!$M$34:$P$34</c:f>
              <c:numCache>
                <c:formatCode>0%</c:formatCode>
                <c:ptCount val="4"/>
                <c:pt idx="0">
                  <c:v>0.59482758620689657</c:v>
                </c:pt>
                <c:pt idx="1">
                  <c:v>0</c:v>
                </c:pt>
                <c:pt idx="2">
                  <c:v>0.20689655172413793</c:v>
                </c:pt>
                <c:pt idx="3">
                  <c:v>0.19827586206896552</c:v>
                </c:pt>
              </c:numCache>
            </c:numRef>
          </c:val>
          <c:extLst>
            <c:ext xmlns:c16="http://schemas.microsoft.com/office/drawing/2014/chart" uri="{C3380CC4-5D6E-409C-BE32-E72D297353CC}">
              <c16:uniqueId val="{00000002-6C7C-4B39-A334-8461C36A5305}"/>
            </c:ext>
          </c:extLst>
        </c:ser>
        <c:dLbls>
          <c:showLegendKey val="0"/>
          <c:showVal val="0"/>
          <c:showCatName val="0"/>
          <c:showSerName val="0"/>
          <c:showPercent val="0"/>
          <c:showBubbleSize val="0"/>
        </c:dLbls>
        <c:gapWidth val="164"/>
        <c:overlap val="-22"/>
        <c:axId val="689130479"/>
        <c:axId val="663440415"/>
      </c:barChart>
      <c:catAx>
        <c:axId val="689130479"/>
        <c:scaling>
          <c:orientation val="minMax"/>
        </c:scaling>
        <c:delete val="0"/>
        <c:axPos val="b"/>
        <c:numFmt formatCode="General" sourceLinked="1"/>
        <c:majorTickMark val="none"/>
        <c:minorTickMark val="none"/>
        <c:tickLblPos val="nextTo"/>
        <c:spPr>
          <a:noFill/>
          <a:ln w="19050"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3440415"/>
        <c:crosses val="autoZero"/>
        <c:auto val="1"/>
        <c:lblAlgn val="ctr"/>
        <c:lblOffset val="100"/>
        <c:noMultiLvlLbl val="0"/>
      </c:catAx>
      <c:valAx>
        <c:axId val="663440415"/>
        <c:scaling>
          <c:orientation val="minMax"/>
        </c:scaling>
        <c:delete val="0"/>
        <c:axPos val="l"/>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89130479"/>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3">
  <cs:axisTitle>
    <cs:lnRef idx="0"/>
    <cs:fillRef idx="0"/>
    <cs:effectRef idx="0"/>
    <cs:fontRef idx="minor">
      <a:schemeClr val="tx1">
        <a:lumMod val="65000"/>
        <a:lumOff val="35000"/>
      </a:schemeClr>
    </cs:fontRef>
    <cs:defRPr sz="900" b="1" kern="1200"/>
  </cs:axisTitle>
  <cs:categoryAxis>
    <cs:lnRef idx="0"/>
    <cs:fillRef idx="0"/>
    <cs:effectRef idx="0"/>
    <cs:fontRef idx="minor">
      <a:schemeClr val="tx1">
        <a:lumMod val="65000"/>
        <a:lumOff val="35000"/>
      </a:schemeClr>
    </cs:fontRef>
    <cs:spPr>
      <a:ln w="19050"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styleClr val="auto"/>
    </cs:effectRef>
    <cs:fontRef idx="minor">
      <a:schemeClr val="dk1"/>
    </cs:fontRef>
    <cs:spPr>
      <a:pattFill prst="narHorz">
        <a:fgClr>
          <a:schemeClr val="phClr"/>
        </a:fgClr>
        <a:bgClr>
          <a:schemeClr val="phClr">
            <a:lumMod val="20000"/>
            <a:lumOff val="80000"/>
          </a:schemeClr>
        </a:bgClr>
      </a:pattFill>
      <a:effectLst>
        <a:innerShdw blurRad="114300">
          <a:schemeClr val="phClr"/>
        </a:innerShdw>
      </a:effectLst>
    </cs:spPr>
  </cs:dataPoint>
  <cs:dataPoint3D>
    <cs:lnRef idx="0"/>
    <cs:fillRef idx="0">
      <cs:styleClr val="auto"/>
    </cs:fillRef>
    <cs:effectRef idx="0"/>
    <cs:fontRef idx="minor">
      <a:schemeClr val="dk1"/>
    </cs:fontRef>
    <cs:spPr>
      <a:pattFill prst="narHorz">
        <a:fgClr>
          <a:schemeClr val="phClr"/>
        </a:fgClr>
        <a:bgClr>
          <a:schemeClr val="phClr">
            <a:lumMod val="20000"/>
            <a:lumOff val="80000"/>
          </a:schemeClr>
        </a:bgClr>
      </a:pattFill>
      <a:effectLst>
        <a:innerShdw blurRad="114300">
          <a:schemeClr val="phClr"/>
        </a:innerShdw>
      </a:effectLst>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a:solidFill>
          <a:schemeClr val="tx1">
            <a:lumMod val="15000"/>
            <a:lumOff val="85000"/>
          </a:schemeClr>
        </a:solidFill>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35000"/>
            <a:lumOff val="65000"/>
          </a:schemeClr>
        </a:solidFill>
        <a:round/>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50000"/>
        <a:lumOff val="50000"/>
      </a:schemeClr>
    </cs:fontRef>
    <cs:defRPr sz="1800" b="1" kern="1200" cap="all" spc="15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oneCellAnchor>
    <xdr:from>
      <xdr:col>0</xdr:col>
      <xdr:colOff>434975</xdr:colOff>
      <xdr:row>24</xdr:row>
      <xdr:rowOff>47624</xdr:rowOff>
    </xdr:from>
    <xdr:ext cx="10223500" cy="2064796"/>
    <xdr:sp macro="" textlink="">
      <xdr:nvSpPr>
        <xdr:cNvPr id="2" name="TextBox 1">
          <a:extLst>
            <a:ext uri="{FF2B5EF4-FFF2-40B4-BE49-F238E27FC236}">
              <a16:creationId xmlns:a16="http://schemas.microsoft.com/office/drawing/2014/main" id="{910B3A6F-741C-C88B-7167-CA3DDA59DB70}"/>
            </a:ext>
          </a:extLst>
        </xdr:cNvPr>
        <xdr:cNvSpPr txBox="1"/>
      </xdr:nvSpPr>
      <xdr:spPr>
        <a:xfrm>
          <a:off x="434975" y="4619624"/>
          <a:ext cx="10223500" cy="20647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400">
              <a:solidFill>
                <a:schemeClr val="tx1"/>
              </a:solidFill>
              <a:effectLst/>
              <a:latin typeface="+mn-lt"/>
              <a:ea typeface="+mn-ea"/>
              <a:cs typeface="+mn-cs"/>
            </a:rPr>
            <a:t>In this model, actual special allocation determines the distribution of the total receipts. </a:t>
          </a:r>
        </a:p>
        <a:p>
          <a:r>
            <a:rPr lang="en-US" sz="1400">
              <a:solidFill>
                <a:schemeClr val="tx1"/>
              </a:solidFill>
              <a:effectLst/>
              <a:latin typeface="+mn-lt"/>
              <a:ea typeface="+mn-ea"/>
              <a:cs typeface="+mn-cs"/>
            </a:rPr>
            <a:t>After the allocation of each item of income, deduction, loss is reported on the partner’s K-1, they are classified in groups representing separate trades or businesses. In this example there is only one business, therefore there is only one group. The sum of the absolute value (ABS) of each item of each group is reported on the K-1. That sum is called the partner’s share of factor baseline for that trade or business. The share of factor baseline can have a different value than the distributive share of net income when there are special allocations.</a:t>
          </a:r>
        </a:p>
        <a:p>
          <a:r>
            <a:rPr lang="en-US" sz="1400">
              <a:solidFill>
                <a:schemeClr val="tx1"/>
              </a:solidFill>
              <a:effectLst/>
              <a:latin typeface="+mn-lt"/>
              <a:ea typeface="+mn-ea"/>
              <a:cs typeface="+mn-cs"/>
            </a:rPr>
            <a:t>The partnership combines the sum of all shares of factor baseline for a business into the business’ factor baseline. Each partner’s share of the business factor baseline is divided by the business factor baseline to create a ratio that can be applied to the partnership total amount of receipts. This results in the partner's distributive share of receipts for each business which takes into account special allocations whether positive or negative. </a:t>
          </a:r>
        </a:p>
      </xdr:txBody>
    </xdr:sp>
    <xdr:clientData/>
  </xdr:oneCellAnchor>
  <xdr:twoCellAnchor>
    <xdr:from>
      <xdr:col>0</xdr:col>
      <xdr:colOff>533400</xdr:colOff>
      <xdr:row>2</xdr:row>
      <xdr:rowOff>171450</xdr:rowOff>
    </xdr:from>
    <xdr:to>
      <xdr:col>5</xdr:col>
      <xdr:colOff>523875</xdr:colOff>
      <xdr:row>19</xdr:row>
      <xdr:rowOff>38100</xdr:rowOff>
    </xdr:to>
    <xdr:grpSp>
      <xdr:nvGrpSpPr>
        <xdr:cNvPr id="10" name="Group 9">
          <a:extLst>
            <a:ext uri="{FF2B5EF4-FFF2-40B4-BE49-F238E27FC236}">
              <a16:creationId xmlns:a16="http://schemas.microsoft.com/office/drawing/2014/main" id="{48182E55-0D7F-A5A8-6092-A1975C88312D}"/>
            </a:ext>
          </a:extLst>
        </xdr:cNvPr>
        <xdr:cNvGrpSpPr/>
      </xdr:nvGrpSpPr>
      <xdr:grpSpPr>
        <a:xfrm>
          <a:off x="533400" y="539750"/>
          <a:ext cx="3038475" cy="2997200"/>
          <a:chOff x="504825" y="1485900"/>
          <a:chExt cx="3038475" cy="3105150"/>
        </a:xfrm>
      </xdr:grpSpPr>
      <xdr:sp macro="" textlink="">
        <xdr:nvSpPr>
          <xdr:cNvPr id="3" name="Isosceles Triangle 2">
            <a:extLst>
              <a:ext uri="{FF2B5EF4-FFF2-40B4-BE49-F238E27FC236}">
                <a16:creationId xmlns:a16="http://schemas.microsoft.com/office/drawing/2014/main" id="{27827A90-9F96-277F-B958-255D71BA6742}"/>
              </a:ext>
            </a:extLst>
          </xdr:cNvPr>
          <xdr:cNvSpPr/>
        </xdr:nvSpPr>
        <xdr:spPr>
          <a:xfrm>
            <a:off x="1285875" y="3486150"/>
            <a:ext cx="1333500" cy="1104900"/>
          </a:xfrm>
          <a:prstGeom prst="triangle">
            <a:avLst/>
          </a:prstGeom>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ctr"/>
            <a:r>
              <a:rPr lang="en-US" sz="1100"/>
              <a:t>P1</a:t>
            </a:r>
          </a:p>
        </xdr:txBody>
      </xdr:sp>
      <xdr:sp macro="" textlink="">
        <xdr:nvSpPr>
          <xdr:cNvPr id="4" name="Isosceles Triangle 3">
            <a:extLst>
              <a:ext uri="{FF2B5EF4-FFF2-40B4-BE49-F238E27FC236}">
                <a16:creationId xmlns:a16="http://schemas.microsoft.com/office/drawing/2014/main" id="{74CB40A1-3641-529D-88C8-59A076E9914A}"/>
              </a:ext>
            </a:extLst>
          </xdr:cNvPr>
          <xdr:cNvSpPr/>
        </xdr:nvSpPr>
        <xdr:spPr>
          <a:xfrm>
            <a:off x="504825" y="1495425"/>
            <a:ext cx="1114425" cy="962025"/>
          </a:xfrm>
          <a:prstGeom prst="triangle">
            <a:avLst/>
          </a:prstGeom>
        </xdr:spPr>
        <xdr:style>
          <a:lnRef idx="2">
            <a:schemeClr val="accent2">
              <a:shade val="15000"/>
            </a:schemeClr>
          </a:lnRef>
          <a:fillRef idx="1">
            <a:schemeClr val="accent2"/>
          </a:fillRef>
          <a:effectRef idx="0">
            <a:schemeClr val="accent2"/>
          </a:effectRef>
          <a:fontRef idx="minor">
            <a:schemeClr val="lt1"/>
          </a:fontRef>
        </xdr:style>
        <xdr:txBody>
          <a:bodyPr vertOverflow="clip" horzOverflow="clip" rtlCol="0" anchor="t"/>
          <a:lstStyle/>
          <a:p>
            <a:pPr algn="ctr"/>
            <a:r>
              <a:rPr lang="en-US" sz="1100"/>
              <a:t>P2</a:t>
            </a:r>
          </a:p>
        </xdr:txBody>
      </xdr:sp>
      <xdr:sp macro="" textlink="">
        <xdr:nvSpPr>
          <xdr:cNvPr id="5" name="Rectangle 4">
            <a:extLst>
              <a:ext uri="{FF2B5EF4-FFF2-40B4-BE49-F238E27FC236}">
                <a16:creationId xmlns:a16="http://schemas.microsoft.com/office/drawing/2014/main" id="{E190BED1-402B-6991-E54D-0060B5625B18}"/>
              </a:ext>
            </a:extLst>
          </xdr:cNvPr>
          <xdr:cNvSpPr/>
        </xdr:nvSpPr>
        <xdr:spPr>
          <a:xfrm>
            <a:off x="2562225" y="1485900"/>
            <a:ext cx="981075" cy="962025"/>
          </a:xfrm>
          <a:prstGeom prst="rect">
            <a:avLst/>
          </a:prstGeom>
        </xdr:spPr>
        <xdr:style>
          <a:lnRef idx="2">
            <a:schemeClr val="accent6">
              <a:shade val="15000"/>
            </a:schemeClr>
          </a:lnRef>
          <a:fillRef idx="1">
            <a:schemeClr val="accent6"/>
          </a:fillRef>
          <a:effectRef idx="0">
            <a:schemeClr val="accent6"/>
          </a:effectRef>
          <a:fontRef idx="minor">
            <a:schemeClr val="lt1"/>
          </a:fontRef>
        </xdr:style>
        <xdr:txBody>
          <a:bodyPr vertOverflow="clip" horzOverflow="clip" rtlCol="0" anchor="ctr"/>
          <a:lstStyle/>
          <a:p>
            <a:pPr algn="ctr"/>
            <a:r>
              <a:rPr lang="en-US" sz="1100"/>
              <a:t>Corp</a:t>
            </a:r>
          </a:p>
        </xdr:txBody>
      </xdr:sp>
      <xdr:cxnSp macro="">
        <xdr:nvCxnSpPr>
          <xdr:cNvPr id="7" name="Straight Arrow Connector 6">
            <a:extLst>
              <a:ext uri="{FF2B5EF4-FFF2-40B4-BE49-F238E27FC236}">
                <a16:creationId xmlns:a16="http://schemas.microsoft.com/office/drawing/2014/main" id="{8BF6B76F-A51A-339D-6307-0E5FE2F1A6B6}"/>
              </a:ext>
            </a:extLst>
          </xdr:cNvPr>
          <xdr:cNvCxnSpPr>
            <a:stCxn id="3" idx="0"/>
            <a:endCxn id="4" idx="3"/>
          </xdr:cNvCxnSpPr>
        </xdr:nvCxnSpPr>
        <xdr:spPr>
          <a:xfrm flipH="1" flipV="1">
            <a:off x="1062038" y="2457450"/>
            <a:ext cx="890587" cy="1028700"/>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cxnSp macro="">
        <xdr:nvCxnSpPr>
          <xdr:cNvPr id="9" name="Straight Arrow Connector 8">
            <a:extLst>
              <a:ext uri="{FF2B5EF4-FFF2-40B4-BE49-F238E27FC236}">
                <a16:creationId xmlns:a16="http://schemas.microsoft.com/office/drawing/2014/main" id="{2560BD8E-B35C-5520-9210-FB2AB8D644AD}"/>
              </a:ext>
            </a:extLst>
          </xdr:cNvPr>
          <xdr:cNvCxnSpPr>
            <a:stCxn id="3" idx="0"/>
            <a:endCxn id="5" idx="2"/>
          </xdr:cNvCxnSpPr>
        </xdr:nvCxnSpPr>
        <xdr:spPr>
          <a:xfrm flipV="1">
            <a:off x="1952625" y="2447925"/>
            <a:ext cx="1100138" cy="1038225"/>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grpSp>
    <xdr:clientData/>
  </xdr:twoCellAnchor>
  <xdr:twoCellAnchor>
    <xdr:from>
      <xdr:col>11</xdr:col>
      <xdr:colOff>38100</xdr:colOff>
      <xdr:row>12</xdr:row>
      <xdr:rowOff>104775</xdr:rowOff>
    </xdr:from>
    <xdr:to>
      <xdr:col>15</xdr:col>
      <xdr:colOff>95250</xdr:colOff>
      <xdr:row>13</xdr:row>
      <xdr:rowOff>28575</xdr:rowOff>
    </xdr:to>
    <xdr:cxnSp macro="">
      <xdr:nvCxnSpPr>
        <xdr:cNvPr id="12" name="Straight Arrow Connector 11">
          <a:extLst>
            <a:ext uri="{FF2B5EF4-FFF2-40B4-BE49-F238E27FC236}">
              <a16:creationId xmlns:a16="http://schemas.microsoft.com/office/drawing/2014/main" id="{F1FCADDE-7DFF-5A8B-127D-07B63A4A0F62}"/>
            </a:ext>
          </a:extLst>
        </xdr:cNvPr>
        <xdr:cNvCxnSpPr/>
      </xdr:nvCxnSpPr>
      <xdr:spPr>
        <a:xfrm>
          <a:off x="7210425" y="2390775"/>
          <a:ext cx="2952750" cy="114300"/>
        </a:xfrm>
        <a:prstGeom prst="straightConnector1">
          <a:avLst/>
        </a:prstGeom>
        <a:ln>
          <a:tailEnd type="triangle"/>
        </a:ln>
      </xdr:spPr>
      <xdr:style>
        <a:lnRef idx="2">
          <a:schemeClr val="accent6"/>
        </a:lnRef>
        <a:fillRef idx="0">
          <a:schemeClr val="accent6"/>
        </a:fillRef>
        <a:effectRef idx="1">
          <a:schemeClr val="accent6"/>
        </a:effectRef>
        <a:fontRef idx="minor">
          <a:schemeClr val="tx1"/>
        </a:fontRef>
      </xdr:style>
    </xdr:cxnSp>
    <xdr:clientData/>
  </xdr:twoCellAnchor>
  <xdr:twoCellAnchor>
    <xdr:from>
      <xdr:col>10</xdr:col>
      <xdr:colOff>885825</xdr:colOff>
      <xdr:row>11</xdr:row>
      <xdr:rowOff>85725</xdr:rowOff>
    </xdr:from>
    <xdr:to>
      <xdr:col>18</xdr:col>
      <xdr:colOff>295275</xdr:colOff>
      <xdr:row>13</xdr:row>
      <xdr:rowOff>66675</xdr:rowOff>
    </xdr:to>
    <xdr:cxnSp macro="">
      <xdr:nvCxnSpPr>
        <xdr:cNvPr id="14" name="Straight Arrow Connector 13">
          <a:extLst>
            <a:ext uri="{FF2B5EF4-FFF2-40B4-BE49-F238E27FC236}">
              <a16:creationId xmlns:a16="http://schemas.microsoft.com/office/drawing/2014/main" id="{07B8B6DA-8A10-DBED-18CE-5F32BFF6B906}"/>
            </a:ext>
          </a:extLst>
        </xdr:cNvPr>
        <xdr:cNvCxnSpPr/>
      </xdr:nvCxnSpPr>
      <xdr:spPr>
        <a:xfrm>
          <a:off x="7096125" y="2181225"/>
          <a:ext cx="4371975" cy="361950"/>
        </a:xfrm>
        <a:prstGeom prst="straightConnector1">
          <a:avLst/>
        </a:prstGeom>
        <a:ln>
          <a:tailEnd type="triangle"/>
        </a:ln>
      </xdr:spPr>
      <xdr:style>
        <a:lnRef idx="2">
          <a:schemeClr val="accent6"/>
        </a:lnRef>
        <a:fillRef idx="0">
          <a:schemeClr val="accent6"/>
        </a:fillRef>
        <a:effectRef idx="1">
          <a:schemeClr val="accent6"/>
        </a:effectRef>
        <a:fontRef idx="minor">
          <a:schemeClr val="tx1"/>
        </a:fontRef>
      </xdr:style>
    </xdr:cxnSp>
    <xdr:clientData/>
  </xdr:twoCellAnchor>
  <xdr:twoCellAnchor>
    <xdr:from>
      <xdr:col>10</xdr:col>
      <xdr:colOff>542925</xdr:colOff>
      <xdr:row>14</xdr:row>
      <xdr:rowOff>133350</xdr:rowOff>
    </xdr:from>
    <xdr:to>
      <xdr:col>10</xdr:col>
      <xdr:colOff>628650</xdr:colOff>
      <xdr:row>16</xdr:row>
      <xdr:rowOff>104775</xdr:rowOff>
    </xdr:to>
    <xdr:sp macro="" textlink="">
      <xdr:nvSpPr>
        <xdr:cNvPr id="17" name="Arrow: Down 16">
          <a:extLst>
            <a:ext uri="{FF2B5EF4-FFF2-40B4-BE49-F238E27FC236}">
              <a16:creationId xmlns:a16="http://schemas.microsoft.com/office/drawing/2014/main" id="{EA4F0F1C-067B-E53C-6281-9E6727A995BB}"/>
            </a:ext>
          </a:extLst>
        </xdr:cNvPr>
        <xdr:cNvSpPr/>
      </xdr:nvSpPr>
      <xdr:spPr>
        <a:xfrm>
          <a:off x="6753225" y="2800350"/>
          <a:ext cx="85725" cy="352425"/>
        </a:xfrm>
        <a:prstGeom prst="downArrow">
          <a:avLst/>
        </a:prstGeom>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298319</xdr:colOff>
      <xdr:row>30</xdr:row>
      <xdr:rowOff>119880</xdr:rowOff>
    </xdr:from>
    <xdr:to>
      <xdr:col>11</xdr:col>
      <xdr:colOff>298319</xdr:colOff>
      <xdr:row>38</xdr:row>
      <xdr:rowOff>57438</xdr:rowOff>
    </xdr:to>
    <xdr:sp macro="" textlink="">
      <xdr:nvSpPr>
        <xdr:cNvPr id="2" name="Isosceles Triangle 1">
          <a:extLst>
            <a:ext uri="{FF2B5EF4-FFF2-40B4-BE49-F238E27FC236}">
              <a16:creationId xmlns:a16="http://schemas.microsoft.com/office/drawing/2014/main" id="{28A4C7DE-37BD-92F0-1EF2-2A081942515C}"/>
            </a:ext>
          </a:extLst>
        </xdr:cNvPr>
        <xdr:cNvSpPr/>
      </xdr:nvSpPr>
      <xdr:spPr>
        <a:xfrm>
          <a:off x="5147410" y="5575107"/>
          <a:ext cx="1818409" cy="1392286"/>
        </a:xfrm>
        <a:prstGeom prst="triangle">
          <a:avLst/>
        </a:prstGeom>
      </xdr:spPr>
      <xdr:style>
        <a:lnRef idx="2">
          <a:schemeClr val="accent2">
            <a:shade val="15000"/>
          </a:schemeClr>
        </a:lnRef>
        <a:fillRef idx="1">
          <a:schemeClr val="accent2"/>
        </a:fillRef>
        <a:effectRef idx="0">
          <a:schemeClr val="accent2"/>
        </a:effectRef>
        <a:fontRef idx="minor">
          <a:schemeClr val="lt1"/>
        </a:fontRef>
      </xdr:style>
      <xdr:txBody>
        <a:bodyPr vertOverflow="clip" horzOverflow="clip" rtlCol="0" anchor="t"/>
        <a:lstStyle/>
        <a:p>
          <a:pPr algn="ctr"/>
          <a:r>
            <a:rPr lang="en-US" sz="1100"/>
            <a:t>P1</a:t>
          </a:r>
        </a:p>
      </xdr:txBody>
    </xdr:sp>
    <xdr:clientData/>
  </xdr:twoCellAnchor>
  <xdr:twoCellAnchor>
    <xdr:from>
      <xdr:col>10</xdr:col>
      <xdr:colOff>206567</xdr:colOff>
      <xdr:row>17</xdr:row>
      <xdr:rowOff>51763</xdr:rowOff>
    </xdr:from>
    <xdr:to>
      <xdr:col>13</xdr:col>
      <xdr:colOff>177993</xdr:colOff>
      <xdr:row>24</xdr:row>
      <xdr:rowOff>127962</xdr:rowOff>
    </xdr:to>
    <xdr:sp macro="" textlink="">
      <xdr:nvSpPr>
        <xdr:cNvPr id="3" name="Isosceles Triangle 2">
          <a:extLst>
            <a:ext uri="{FF2B5EF4-FFF2-40B4-BE49-F238E27FC236}">
              <a16:creationId xmlns:a16="http://schemas.microsoft.com/office/drawing/2014/main" id="{4E8AB939-3169-BC23-BE07-94791811A206}"/>
            </a:ext>
          </a:extLst>
        </xdr:cNvPr>
        <xdr:cNvSpPr/>
      </xdr:nvSpPr>
      <xdr:spPr>
        <a:xfrm>
          <a:off x="6267931" y="3143058"/>
          <a:ext cx="1789835" cy="1349086"/>
        </a:xfrm>
        <a:prstGeom prst="triangle">
          <a:avLst>
            <a:gd name="adj" fmla="val 48940"/>
          </a:avLst>
        </a:prstGeom>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ctr"/>
          <a:r>
            <a:rPr lang="en-US" sz="1100"/>
            <a:t>P3</a:t>
          </a:r>
        </a:p>
      </xdr:txBody>
    </xdr:sp>
    <xdr:clientData/>
  </xdr:twoCellAnchor>
  <xdr:twoCellAnchor>
    <xdr:from>
      <xdr:col>5</xdr:col>
      <xdr:colOff>40504</xdr:colOff>
      <xdr:row>4</xdr:row>
      <xdr:rowOff>44450</xdr:rowOff>
    </xdr:from>
    <xdr:to>
      <xdr:col>8</xdr:col>
      <xdr:colOff>304800</xdr:colOff>
      <xdr:row>13</xdr:row>
      <xdr:rowOff>125653</xdr:rowOff>
    </xdr:to>
    <xdr:sp macro="" textlink="">
      <xdr:nvSpPr>
        <xdr:cNvPr id="4" name="Rectangle 3">
          <a:extLst>
            <a:ext uri="{FF2B5EF4-FFF2-40B4-BE49-F238E27FC236}">
              <a16:creationId xmlns:a16="http://schemas.microsoft.com/office/drawing/2014/main" id="{C38617DF-A89D-93BE-517D-D1D08202ADD6}"/>
            </a:ext>
          </a:extLst>
        </xdr:cNvPr>
        <xdr:cNvSpPr/>
      </xdr:nvSpPr>
      <xdr:spPr>
        <a:xfrm>
          <a:off x="3088504" y="768350"/>
          <a:ext cx="2093096" cy="1709978"/>
        </a:xfrm>
        <a:prstGeom prst="rect">
          <a:avLst/>
        </a:prstGeom>
      </xdr:spPr>
      <xdr:style>
        <a:lnRef idx="2">
          <a:schemeClr val="accent6">
            <a:shade val="15000"/>
          </a:schemeClr>
        </a:lnRef>
        <a:fillRef idx="1">
          <a:schemeClr val="accent6"/>
        </a:fillRef>
        <a:effectRef idx="0">
          <a:schemeClr val="accent6"/>
        </a:effectRef>
        <a:fontRef idx="minor">
          <a:schemeClr val="lt1"/>
        </a:fontRef>
      </xdr:style>
      <xdr:txBody>
        <a:bodyPr vertOverflow="clip" horzOverflow="clip" rtlCol="0" anchor="ctr"/>
        <a:lstStyle/>
        <a:p>
          <a:pPr algn="ctr"/>
          <a:r>
            <a:rPr lang="en-US" sz="1100"/>
            <a:t>Corp</a:t>
          </a:r>
        </a:p>
      </xdr:txBody>
    </xdr:sp>
    <xdr:clientData/>
  </xdr:twoCellAnchor>
  <xdr:twoCellAnchor>
    <xdr:from>
      <xdr:col>13</xdr:col>
      <xdr:colOff>601133</xdr:colOff>
      <xdr:row>6</xdr:row>
      <xdr:rowOff>65617</xdr:rowOff>
    </xdr:from>
    <xdr:to>
      <xdr:col>15</xdr:col>
      <xdr:colOff>582083</xdr:colOff>
      <xdr:row>12</xdr:row>
      <xdr:rowOff>135467</xdr:rowOff>
    </xdr:to>
    <xdr:sp macro="" textlink="">
      <xdr:nvSpPr>
        <xdr:cNvPr id="6" name="Oval 5">
          <a:extLst>
            <a:ext uri="{FF2B5EF4-FFF2-40B4-BE49-F238E27FC236}">
              <a16:creationId xmlns:a16="http://schemas.microsoft.com/office/drawing/2014/main" id="{C5E0AC4A-B1A8-262F-0915-07AA529B1C5B}"/>
            </a:ext>
          </a:extLst>
        </xdr:cNvPr>
        <xdr:cNvSpPr/>
      </xdr:nvSpPr>
      <xdr:spPr>
        <a:xfrm>
          <a:off x="8525933" y="1151467"/>
          <a:ext cx="1200150" cy="1155700"/>
        </a:xfrm>
        <a:prstGeom prst="ellipse">
          <a:avLst/>
        </a:prstGeom>
      </xdr:spPr>
      <xdr:style>
        <a:lnRef idx="0">
          <a:schemeClr val="accent6"/>
        </a:lnRef>
        <a:fillRef idx="3">
          <a:schemeClr val="accent6"/>
        </a:fillRef>
        <a:effectRef idx="3">
          <a:schemeClr val="accent6"/>
        </a:effectRef>
        <a:fontRef idx="minor">
          <a:schemeClr val="lt1"/>
        </a:fontRef>
      </xdr:style>
      <xdr:txBody>
        <a:bodyPr vertOverflow="clip" horzOverflow="clip" rtlCol="0" anchor="ctr"/>
        <a:lstStyle/>
        <a:p>
          <a:pPr algn="ctr"/>
          <a:r>
            <a:rPr lang="en-US" sz="1100"/>
            <a:t>John Doe</a:t>
          </a:r>
        </a:p>
      </xdr:txBody>
    </xdr:sp>
    <xdr:clientData/>
  </xdr:twoCellAnchor>
  <xdr:twoCellAnchor>
    <xdr:from>
      <xdr:col>9</xdr:col>
      <xdr:colOff>598213</xdr:colOff>
      <xdr:row>24</xdr:row>
      <xdr:rowOff>124787</xdr:rowOff>
    </xdr:from>
    <xdr:to>
      <xdr:col>11</xdr:col>
      <xdr:colOff>477930</xdr:colOff>
      <xdr:row>30</xdr:row>
      <xdr:rowOff>123055</xdr:rowOff>
    </xdr:to>
    <xdr:cxnSp macro="">
      <xdr:nvCxnSpPr>
        <xdr:cNvPr id="8" name="Straight Arrow Connector 7">
          <a:extLst>
            <a:ext uri="{FF2B5EF4-FFF2-40B4-BE49-F238E27FC236}">
              <a16:creationId xmlns:a16="http://schemas.microsoft.com/office/drawing/2014/main" id="{FCFD0485-F945-7DCE-384A-6A00D5BE02DD}"/>
            </a:ext>
          </a:extLst>
        </xdr:cNvPr>
        <xdr:cNvCxnSpPr>
          <a:stCxn id="2" idx="0"/>
          <a:endCxn id="3" idx="3"/>
        </xdr:cNvCxnSpPr>
      </xdr:nvCxnSpPr>
      <xdr:spPr>
        <a:xfrm flipV="1">
          <a:off x="6053440" y="4488969"/>
          <a:ext cx="1091990" cy="1089313"/>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6</xdr:col>
      <xdr:colOff>477452</xdr:colOff>
      <xdr:row>13</xdr:row>
      <xdr:rowOff>122478</xdr:rowOff>
    </xdr:from>
    <xdr:to>
      <xdr:col>11</xdr:col>
      <xdr:colOff>479551</xdr:colOff>
      <xdr:row>17</xdr:row>
      <xdr:rowOff>48588</xdr:rowOff>
    </xdr:to>
    <xdr:cxnSp macro="">
      <xdr:nvCxnSpPr>
        <xdr:cNvPr id="10" name="Straight Arrow Connector 9">
          <a:extLst>
            <a:ext uri="{FF2B5EF4-FFF2-40B4-BE49-F238E27FC236}">
              <a16:creationId xmlns:a16="http://schemas.microsoft.com/office/drawing/2014/main" id="{648F9429-D0CB-C1B4-E633-DBC05F16E6D5}"/>
            </a:ext>
          </a:extLst>
        </xdr:cNvPr>
        <xdr:cNvCxnSpPr>
          <a:cxnSpLocks/>
          <a:stCxn id="3" idx="0"/>
          <a:endCxn id="4" idx="2"/>
        </xdr:cNvCxnSpPr>
      </xdr:nvCxnSpPr>
      <xdr:spPr>
        <a:xfrm flipH="1" flipV="1">
          <a:off x="4135052" y="2475153"/>
          <a:ext cx="3050099" cy="650010"/>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11</xdr:col>
      <xdr:colOff>479551</xdr:colOff>
      <xdr:row>12</xdr:row>
      <xdr:rowOff>135467</xdr:rowOff>
    </xdr:from>
    <xdr:to>
      <xdr:col>14</xdr:col>
      <xdr:colOff>588433</xdr:colOff>
      <xdr:row>17</xdr:row>
      <xdr:rowOff>48588</xdr:rowOff>
    </xdr:to>
    <xdr:cxnSp macro="">
      <xdr:nvCxnSpPr>
        <xdr:cNvPr id="12" name="Straight Arrow Connector 11">
          <a:extLst>
            <a:ext uri="{FF2B5EF4-FFF2-40B4-BE49-F238E27FC236}">
              <a16:creationId xmlns:a16="http://schemas.microsoft.com/office/drawing/2014/main" id="{2BE07062-36B7-2F8B-051C-5FA92326F592}"/>
            </a:ext>
          </a:extLst>
        </xdr:cNvPr>
        <xdr:cNvCxnSpPr>
          <a:cxnSpLocks/>
          <a:stCxn id="3" idx="0"/>
          <a:endCxn id="6" idx="4"/>
        </xdr:cNvCxnSpPr>
      </xdr:nvCxnSpPr>
      <xdr:spPr>
        <a:xfrm flipV="1">
          <a:off x="7185151" y="2307167"/>
          <a:ext cx="1937682" cy="817996"/>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6</xdr:col>
      <xdr:colOff>477452</xdr:colOff>
      <xdr:row>13</xdr:row>
      <xdr:rowOff>122478</xdr:rowOff>
    </xdr:from>
    <xdr:to>
      <xdr:col>9</xdr:col>
      <xdr:colOff>599944</xdr:colOff>
      <xdr:row>30</xdr:row>
      <xdr:rowOff>123055</xdr:rowOff>
    </xdr:to>
    <xdr:cxnSp macro="">
      <xdr:nvCxnSpPr>
        <xdr:cNvPr id="14" name="Straight Arrow Connector 13">
          <a:extLst>
            <a:ext uri="{FF2B5EF4-FFF2-40B4-BE49-F238E27FC236}">
              <a16:creationId xmlns:a16="http://schemas.microsoft.com/office/drawing/2014/main" id="{C47A8376-FE94-E906-9A47-83DA0BDD2BB1}"/>
            </a:ext>
          </a:extLst>
        </xdr:cNvPr>
        <xdr:cNvCxnSpPr>
          <a:stCxn id="2" idx="0"/>
          <a:endCxn id="4" idx="2"/>
        </xdr:cNvCxnSpPr>
      </xdr:nvCxnSpPr>
      <xdr:spPr>
        <a:xfrm flipH="1" flipV="1">
          <a:off x="4135052" y="2475153"/>
          <a:ext cx="1951292" cy="3077152"/>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14</xdr:col>
      <xdr:colOff>347133</xdr:colOff>
      <xdr:row>32</xdr:row>
      <xdr:rowOff>42332</xdr:rowOff>
    </xdr:from>
    <xdr:to>
      <xdr:col>17</xdr:col>
      <xdr:colOff>101600</xdr:colOff>
      <xdr:row>39</xdr:row>
      <xdr:rowOff>42332</xdr:rowOff>
    </xdr:to>
    <xdr:sp macro="" textlink="">
      <xdr:nvSpPr>
        <xdr:cNvPr id="9" name="Isosceles Triangle 8">
          <a:extLst>
            <a:ext uri="{FF2B5EF4-FFF2-40B4-BE49-F238E27FC236}">
              <a16:creationId xmlns:a16="http://schemas.microsoft.com/office/drawing/2014/main" id="{6649B538-7D97-62A2-19FF-588ED28D8300}"/>
            </a:ext>
          </a:extLst>
        </xdr:cNvPr>
        <xdr:cNvSpPr/>
      </xdr:nvSpPr>
      <xdr:spPr>
        <a:xfrm>
          <a:off x="8940800" y="5799665"/>
          <a:ext cx="1595967" cy="1259417"/>
        </a:xfrm>
        <a:prstGeom prst="triangle">
          <a:avLst/>
        </a:prstGeom>
      </xdr:spPr>
      <xdr:style>
        <a:lnRef idx="1">
          <a:schemeClr val="accent2"/>
        </a:lnRef>
        <a:fillRef idx="2">
          <a:schemeClr val="accent2"/>
        </a:fillRef>
        <a:effectRef idx="1">
          <a:schemeClr val="accent2"/>
        </a:effectRef>
        <a:fontRef idx="minor">
          <a:schemeClr val="dk1"/>
        </a:fontRef>
      </xdr:style>
      <xdr:txBody>
        <a:bodyPr vertOverflow="clip" horzOverflow="clip" rtlCol="0" anchor="t"/>
        <a:lstStyle/>
        <a:p>
          <a:pPr algn="ctr"/>
          <a:r>
            <a:rPr lang="en-US" sz="1100"/>
            <a:t>P2</a:t>
          </a:r>
        </a:p>
      </xdr:txBody>
    </xdr:sp>
    <xdr:clientData/>
  </xdr:twoCellAnchor>
  <xdr:twoCellAnchor>
    <xdr:from>
      <xdr:col>11</xdr:col>
      <xdr:colOff>477930</xdr:colOff>
      <xdr:row>24</xdr:row>
      <xdr:rowOff>124787</xdr:rowOff>
    </xdr:from>
    <xdr:to>
      <xdr:col>15</xdr:col>
      <xdr:colOff>530610</xdr:colOff>
      <xdr:row>32</xdr:row>
      <xdr:rowOff>45507</xdr:rowOff>
    </xdr:to>
    <xdr:cxnSp macro="">
      <xdr:nvCxnSpPr>
        <xdr:cNvPr id="13" name="Straight Arrow Connector 12">
          <a:extLst>
            <a:ext uri="{FF2B5EF4-FFF2-40B4-BE49-F238E27FC236}">
              <a16:creationId xmlns:a16="http://schemas.microsoft.com/office/drawing/2014/main" id="{A8906F26-B8E0-C33E-2A97-74A9A490C128}"/>
            </a:ext>
          </a:extLst>
        </xdr:cNvPr>
        <xdr:cNvCxnSpPr>
          <a:stCxn id="9" idx="0"/>
          <a:endCxn id="3" idx="3"/>
        </xdr:cNvCxnSpPr>
      </xdr:nvCxnSpPr>
      <xdr:spPr>
        <a:xfrm flipH="1" flipV="1">
          <a:off x="7145430" y="4488969"/>
          <a:ext cx="2477225" cy="1375447"/>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17</xdr:col>
      <xdr:colOff>56848</xdr:colOff>
      <xdr:row>18</xdr:row>
      <xdr:rowOff>29482</xdr:rowOff>
    </xdr:from>
    <xdr:to>
      <xdr:col>18</xdr:col>
      <xdr:colOff>608845</xdr:colOff>
      <xdr:row>24</xdr:row>
      <xdr:rowOff>89807</xdr:rowOff>
    </xdr:to>
    <xdr:sp macro="" textlink="">
      <xdr:nvSpPr>
        <xdr:cNvPr id="15" name="Oval 14">
          <a:extLst>
            <a:ext uri="{FF2B5EF4-FFF2-40B4-BE49-F238E27FC236}">
              <a16:creationId xmlns:a16="http://schemas.microsoft.com/office/drawing/2014/main" id="{050525A7-3488-E0D8-4D47-35A4941BF4EF}"/>
            </a:ext>
          </a:extLst>
        </xdr:cNvPr>
        <xdr:cNvSpPr/>
      </xdr:nvSpPr>
      <xdr:spPr>
        <a:xfrm>
          <a:off x="10466312" y="3458482"/>
          <a:ext cx="1164319" cy="1203325"/>
        </a:xfrm>
        <a:prstGeom prst="ellipse">
          <a:avLst/>
        </a:prstGeom>
        <a:gradFill flip="none" rotWithShape="1">
          <a:gsLst>
            <a:gs pos="0">
              <a:schemeClr val="accent4">
                <a:lumMod val="67000"/>
              </a:schemeClr>
            </a:gs>
            <a:gs pos="48000">
              <a:schemeClr val="accent4">
                <a:lumMod val="97000"/>
                <a:lumOff val="3000"/>
              </a:schemeClr>
            </a:gs>
            <a:gs pos="100000">
              <a:schemeClr val="accent4">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en-US" sz="1100"/>
            <a:t>Jane Doe</a:t>
          </a:r>
        </a:p>
      </xdr:txBody>
    </xdr:sp>
    <xdr:clientData/>
  </xdr:twoCellAnchor>
  <xdr:twoCellAnchor>
    <xdr:from>
      <xdr:col>15</xdr:col>
      <xdr:colOff>530528</xdr:colOff>
      <xdr:row>24</xdr:row>
      <xdr:rowOff>89807</xdr:rowOff>
    </xdr:from>
    <xdr:to>
      <xdr:col>18</xdr:col>
      <xdr:colOff>26686</xdr:colOff>
      <xdr:row>32</xdr:row>
      <xdr:rowOff>42332</xdr:rowOff>
    </xdr:to>
    <xdr:cxnSp macro="">
      <xdr:nvCxnSpPr>
        <xdr:cNvPr id="17" name="Straight Arrow Connector 16">
          <a:extLst>
            <a:ext uri="{FF2B5EF4-FFF2-40B4-BE49-F238E27FC236}">
              <a16:creationId xmlns:a16="http://schemas.microsoft.com/office/drawing/2014/main" id="{EAF0E2E7-F1CB-E2C9-E7EF-DF6BE0F93EA4}"/>
            </a:ext>
          </a:extLst>
        </xdr:cNvPr>
        <xdr:cNvCxnSpPr>
          <a:stCxn id="9" idx="0"/>
          <a:endCxn id="15" idx="4"/>
        </xdr:cNvCxnSpPr>
      </xdr:nvCxnSpPr>
      <xdr:spPr>
        <a:xfrm flipV="1">
          <a:off x="9715349" y="4661807"/>
          <a:ext cx="1333123" cy="1476525"/>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0</xdr:col>
      <xdr:colOff>323849</xdr:colOff>
      <xdr:row>2</xdr:row>
      <xdr:rowOff>142873</xdr:rowOff>
    </xdr:from>
    <xdr:to>
      <xdr:col>4</xdr:col>
      <xdr:colOff>257175</xdr:colOff>
      <xdr:row>7</xdr:row>
      <xdr:rowOff>165099</xdr:rowOff>
    </xdr:to>
    <xdr:grpSp>
      <xdr:nvGrpSpPr>
        <xdr:cNvPr id="23" name="Group 22">
          <a:extLst>
            <a:ext uri="{FF2B5EF4-FFF2-40B4-BE49-F238E27FC236}">
              <a16:creationId xmlns:a16="http://schemas.microsoft.com/office/drawing/2014/main" id="{D96F55CF-5825-E0DF-A488-502B15424D0B}"/>
            </a:ext>
          </a:extLst>
        </xdr:cNvPr>
        <xdr:cNvGrpSpPr/>
      </xdr:nvGrpSpPr>
      <xdr:grpSpPr>
        <a:xfrm>
          <a:off x="323849" y="505730"/>
          <a:ext cx="2364469" cy="929369"/>
          <a:chOff x="323849" y="504823"/>
          <a:chExt cx="2371726" cy="927101"/>
        </a:xfrm>
      </xdr:grpSpPr>
      <xdr:sp macro="" textlink="">
        <xdr:nvSpPr>
          <xdr:cNvPr id="22" name="TextBox 21">
            <a:extLst>
              <a:ext uri="{FF2B5EF4-FFF2-40B4-BE49-F238E27FC236}">
                <a16:creationId xmlns:a16="http://schemas.microsoft.com/office/drawing/2014/main" id="{9C9473AC-40C9-B203-2610-5C83C836AB71}"/>
              </a:ext>
            </a:extLst>
          </xdr:cNvPr>
          <xdr:cNvSpPr txBox="1"/>
        </xdr:nvSpPr>
        <xdr:spPr>
          <a:xfrm>
            <a:off x="323849" y="504823"/>
            <a:ext cx="2371726" cy="9271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Arrow represent the flow of distributive share of partnership</a:t>
            </a:r>
            <a:r>
              <a:rPr lang="en-US" sz="1100" baseline="0"/>
              <a:t> items of income, loss, deductions and credit</a:t>
            </a:r>
            <a:endParaRPr lang="en-US" sz="1100"/>
          </a:p>
        </xdr:txBody>
      </xdr:sp>
      <xdr:cxnSp macro="">
        <xdr:nvCxnSpPr>
          <xdr:cNvPr id="21" name="Straight Arrow Connector 20">
            <a:extLst>
              <a:ext uri="{FF2B5EF4-FFF2-40B4-BE49-F238E27FC236}">
                <a16:creationId xmlns:a16="http://schemas.microsoft.com/office/drawing/2014/main" id="{76FF482C-7BB1-081A-C760-2C5F576BE944}"/>
              </a:ext>
            </a:extLst>
          </xdr:cNvPr>
          <xdr:cNvCxnSpPr/>
        </xdr:nvCxnSpPr>
        <xdr:spPr>
          <a:xfrm>
            <a:off x="857250" y="1266825"/>
            <a:ext cx="723900" cy="0"/>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grpSp>
    <xdr:clientData/>
  </xdr:twoCellAnchor>
  <xdr:twoCellAnchor>
    <xdr:from>
      <xdr:col>8</xdr:col>
      <xdr:colOff>230332</xdr:colOff>
      <xdr:row>27</xdr:row>
      <xdr:rowOff>7216</xdr:rowOff>
    </xdr:from>
    <xdr:to>
      <xdr:col>21</xdr:col>
      <xdr:colOff>57150</xdr:colOff>
      <xdr:row>27</xdr:row>
      <xdr:rowOff>19050</xdr:rowOff>
    </xdr:to>
    <xdr:cxnSp macro="">
      <xdr:nvCxnSpPr>
        <xdr:cNvPr id="29" name="Straight Connector 28">
          <a:extLst>
            <a:ext uri="{FF2B5EF4-FFF2-40B4-BE49-F238E27FC236}">
              <a16:creationId xmlns:a16="http://schemas.microsoft.com/office/drawing/2014/main" id="{2F32601D-9BB6-6F1C-591E-131AF804F7E0}"/>
            </a:ext>
          </a:extLst>
        </xdr:cNvPr>
        <xdr:cNvCxnSpPr/>
      </xdr:nvCxnSpPr>
      <xdr:spPr>
        <a:xfrm>
          <a:off x="5107132" y="4893541"/>
          <a:ext cx="7751618" cy="11834"/>
        </a:xfrm>
        <a:prstGeom prst="line">
          <a:avLst/>
        </a:prstGeom>
        <a:ln w="19050" cap="flat" cmpd="sng" algn="ctr">
          <a:solidFill>
            <a:schemeClr val="dk1"/>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5</xdr:col>
      <xdr:colOff>95250</xdr:colOff>
      <xdr:row>1</xdr:row>
      <xdr:rowOff>120650</xdr:rowOff>
    </xdr:from>
    <xdr:to>
      <xdr:col>11</xdr:col>
      <xdr:colOff>123825</xdr:colOff>
      <xdr:row>46</xdr:row>
      <xdr:rowOff>66675</xdr:rowOff>
    </xdr:to>
    <xdr:cxnSp macro="">
      <xdr:nvCxnSpPr>
        <xdr:cNvPr id="31" name="Straight Connector 30">
          <a:extLst>
            <a:ext uri="{FF2B5EF4-FFF2-40B4-BE49-F238E27FC236}">
              <a16:creationId xmlns:a16="http://schemas.microsoft.com/office/drawing/2014/main" id="{A88B2F55-E9A1-A06F-15D7-912A045790B2}"/>
            </a:ext>
          </a:extLst>
        </xdr:cNvPr>
        <xdr:cNvCxnSpPr/>
      </xdr:nvCxnSpPr>
      <xdr:spPr>
        <a:xfrm>
          <a:off x="3143250" y="301625"/>
          <a:ext cx="3686175" cy="8089900"/>
        </a:xfrm>
        <a:prstGeom prst="line">
          <a:avLst/>
        </a:prstGeom>
        <a:ln w="19050" cap="flat" cmpd="sng" algn="ctr">
          <a:solidFill>
            <a:schemeClr val="dk1"/>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10</xdr:col>
      <xdr:colOff>342900</xdr:colOff>
      <xdr:row>27</xdr:row>
      <xdr:rowOff>28575</xdr:rowOff>
    </xdr:from>
    <xdr:to>
      <xdr:col>14</xdr:col>
      <xdr:colOff>381000</xdr:colOff>
      <xdr:row>50</xdr:row>
      <xdr:rowOff>19050</xdr:rowOff>
    </xdr:to>
    <xdr:cxnSp macro="">
      <xdr:nvCxnSpPr>
        <xdr:cNvPr id="33" name="Straight Connector 32">
          <a:extLst>
            <a:ext uri="{FF2B5EF4-FFF2-40B4-BE49-F238E27FC236}">
              <a16:creationId xmlns:a16="http://schemas.microsoft.com/office/drawing/2014/main" id="{88389AB0-3A4F-0EFE-91E6-71DC1CFFEB4A}"/>
            </a:ext>
          </a:extLst>
        </xdr:cNvPr>
        <xdr:cNvCxnSpPr/>
      </xdr:nvCxnSpPr>
      <xdr:spPr>
        <a:xfrm flipH="1">
          <a:off x="6438900" y="4914900"/>
          <a:ext cx="2476500" cy="4152900"/>
        </a:xfrm>
        <a:prstGeom prst="line">
          <a:avLst/>
        </a:prstGeom>
        <a:ln w="19050" cap="flat" cmpd="sng" algn="ctr">
          <a:solidFill>
            <a:schemeClr val="dk1"/>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oneCellAnchor>
    <xdr:from>
      <xdr:col>5</xdr:col>
      <xdr:colOff>438150</xdr:colOff>
      <xdr:row>28</xdr:row>
      <xdr:rowOff>66675</xdr:rowOff>
    </xdr:from>
    <xdr:ext cx="932243" cy="405432"/>
    <xdr:sp macro="" textlink="">
      <xdr:nvSpPr>
        <xdr:cNvPr id="36" name="TextBox 35">
          <a:extLst>
            <a:ext uri="{FF2B5EF4-FFF2-40B4-BE49-F238E27FC236}">
              <a16:creationId xmlns:a16="http://schemas.microsoft.com/office/drawing/2014/main" id="{880539C8-7AB7-4336-6407-F48B8E56E8BD}"/>
            </a:ext>
          </a:extLst>
        </xdr:cNvPr>
        <xdr:cNvSpPr txBox="1"/>
      </xdr:nvSpPr>
      <xdr:spPr>
        <a:xfrm>
          <a:off x="3486150" y="5133975"/>
          <a:ext cx="932243" cy="4054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2000" b="1"/>
            <a:t>State A</a:t>
          </a:r>
        </a:p>
      </xdr:txBody>
    </xdr:sp>
    <xdr:clientData/>
  </xdr:oneCellAnchor>
  <xdr:oneCellAnchor>
    <xdr:from>
      <xdr:col>11</xdr:col>
      <xdr:colOff>88855</xdr:colOff>
      <xdr:row>11</xdr:row>
      <xdr:rowOff>121681</xdr:rowOff>
    </xdr:from>
    <xdr:ext cx="933589" cy="405432"/>
    <xdr:sp macro="" textlink="">
      <xdr:nvSpPr>
        <xdr:cNvPr id="37" name="TextBox 36">
          <a:extLst>
            <a:ext uri="{FF2B5EF4-FFF2-40B4-BE49-F238E27FC236}">
              <a16:creationId xmlns:a16="http://schemas.microsoft.com/office/drawing/2014/main" id="{70E35FE4-B29D-4A55-A149-4B4B4037D208}"/>
            </a:ext>
          </a:extLst>
        </xdr:cNvPr>
        <xdr:cNvSpPr txBox="1"/>
      </xdr:nvSpPr>
      <xdr:spPr>
        <a:xfrm>
          <a:off x="6756355" y="2121931"/>
          <a:ext cx="933589" cy="4054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2000" b="1"/>
            <a:t>State B</a:t>
          </a:r>
        </a:p>
      </xdr:txBody>
    </xdr:sp>
    <xdr:clientData/>
  </xdr:oneCellAnchor>
  <xdr:oneCellAnchor>
    <xdr:from>
      <xdr:col>18</xdr:col>
      <xdr:colOff>0</xdr:colOff>
      <xdr:row>29</xdr:row>
      <xdr:rowOff>0</xdr:rowOff>
    </xdr:from>
    <xdr:ext cx="953018" cy="405432"/>
    <xdr:sp macro="" textlink="">
      <xdr:nvSpPr>
        <xdr:cNvPr id="38" name="TextBox 37">
          <a:extLst>
            <a:ext uri="{FF2B5EF4-FFF2-40B4-BE49-F238E27FC236}">
              <a16:creationId xmlns:a16="http://schemas.microsoft.com/office/drawing/2014/main" id="{6FDFCDED-18B6-496B-B74B-74FF9D332A50}"/>
            </a:ext>
          </a:extLst>
        </xdr:cNvPr>
        <xdr:cNvSpPr txBox="1"/>
      </xdr:nvSpPr>
      <xdr:spPr>
        <a:xfrm>
          <a:off x="10972800" y="5248275"/>
          <a:ext cx="953018" cy="4054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2000" b="1"/>
            <a:t>State C</a:t>
          </a:r>
        </a:p>
      </xdr:txBody>
    </xdr:sp>
    <xdr:clientData/>
  </xdr:oneCellAnchor>
  <xdr:oneCellAnchor>
    <xdr:from>
      <xdr:col>11</xdr:col>
      <xdr:colOff>127151</xdr:colOff>
      <xdr:row>31</xdr:row>
      <xdr:rowOff>63348</xdr:rowOff>
    </xdr:from>
    <xdr:ext cx="952761" cy="405432"/>
    <xdr:sp macro="" textlink="">
      <xdr:nvSpPr>
        <xdr:cNvPr id="39" name="TextBox 38">
          <a:extLst>
            <a:ext uri="{FF2B5EF4-FFF2-40B4-BE49-F238E27FC236}">
              <a16:creationId xmlns:a16="http://schemas.microsoft.com/office/drawing/2014/main" id="{1AE641C9-876C-44EF-9ACF-1F81620C3547}"/>
            </a:ext>
          </a:extLst>
        </xdr:cNvPr>
        <xdr:cNvSpPr txBox="1"/>
      </xdr:nvSpPr>
      <xdr:spPr>
        <a:xfrm>
          <a:off x="6794651" y="5700416"/>
          <a:ext cx="952761" cy="4054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2000" b="1"/>
            <a:t>State D</a:t>
          </a: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8</xdr:col>
      <xdr:colOff>2275416</xdr:colOff>
      <xdr:row>23</xdr:row>
      <xdr:rowOff>42333</xdr:rowOff>
    </xdr:from>
    <xdr:to>
      <xdr:col>8</xdr:col>
      <xdr:colOff>3589866</xdr:colOff>
      <xdr:row>27</xdr:row>
      <xdr:rowOff>61383</xdr:rowOff>
    </xdr:to>
    <xdr:sp macro="" textlink="">
      <xdr:nvSpPr>
        <xdr:cNvPr id="2" name="Arrow: Pentagon 1">
          <a:extLst>
            <a:ext uri="{FF2B5EF4-FFF2-40B4-BE49-F238E27FC236}">
              <a16:creationId xmlns:a16="http://schemas.microsoft.com/office/drawing/2014/main" id="{B3D4CF32-4121-4488-B2F4-C93F09A8366E}"/>
            </a:ext>
          </a:extLst>
        </xdr:cNvPr>
        <xdr:cNvSpPr/>
      </xdr:nvSpPr>
      <xdr:spPr>
        <a:xfrm>
          <a:off x="10646833" y="5058833"/>
          <a:ext cx="1314450" cy="781050"/>
        </a:xfrm>
        <a:prstGeom prst="homePlate">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lang="en-US" sz="1000"/>
            <a:t>Make special allocations here. Can be negative percentages.</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1190624</xdr:colOff>
      <xdr:row>21</xdr:row>
      <xdr:rowOff>57151</xdr:rowOff>
    </xdr:from>
    <xdr:to>
      <xdr:col>6</xdr:col>
      <xdr:colOff>895349</xdr:colOff>
      <xdr:row>40</xdr:row>
      <xdr:rowOff>85725</xdr:rowOff>
    </xdr:to>
    <xdr:graphicFrame macro="">
      <xdr:nvGraphicFramePr>
        <xdr:cNvPr id="5" name="Chart 4">
          <a:extLst>
            <a:ext uri="{FF2B5EF4-FFF2-40B4-BE49-F238E27FC236}">
              <a16:creationId xmlns:a16="http://schemas.microsoft.com/office/drawing/2014/main" id="{ADCCB343-23E0-81EE-B0B0-76B130E6B76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1437409</xdr:colOff>
      <xdr:row>22</xdr:row>
      <xdr:rowOff>83993</xdr:rowOff>
    </xdr:from>
    <xdr:to>
      <xdr:col>0</xdr:col>
      <xdr:colOff>3563216</xdr:colOff>
      <xdr:row>25</xdr:row>
      <xdr:rowOff>121227</xdr:rowOff>
    </xdr:to>
    <xdr:sp macro="" textlink="">
      <xdr:nvSpPr>
        <xdr:cNvPr id="5" name="Arrow: Pentagon 4">
          <a:extLst>
            <a:ext uri="{FF2B5EF4-FFF2-40B4-BE49-F238E27FC236}">
              <a16:creationId xmlns:a16="http://schemas.microsoft.com/office/drawing/2014/main" id="{F130802A-7B04-03E3-5032-FE52349343D9}"/>
            </a:ext>
          </a:extLst>
        </xdr:cNvPr>
        <xdr:cNvSpPr/>
      </xdr:nvSpPr>
      <xdr:spPr>
        <a:xfrm>
          <a:off x="1437409" y="4915766"/>
          <a:ext cx="2125807" cy="617393"/>
        </a:xfrm>
        <a:prstGeom prst="homePlate">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lang="en-US" sz="1000"/>
            <a:t>Add factors as needed.</a:t>
          </a:r>
          <a:r>
            <a:rPr lang="en-US" sz="1000" baseline="0"/>
            <a:t> If one of the states uses a 3 factors formula, enter total payroll and property.</a:t>
          </a:r>
          <a:endParaRPr lang="en-US" sz="1000"/>
        </a:p>
      </xdr:txBody>
    </xdr:sp>
    <xdr:clientData/>
  </xdr:twoCellAnchor>
  <xdr:twoCellAnchor>
    <xdr:from>
      <xdr:col>8</xdr:col>
      <xdr:colOff>1838325</xdr:colOff>
      <xdr:row>28</xdr:row>
      <xdr:rowOff>95250</xdr:rowOff>
    </xdr:from>
    <xdr:to>
      <xdr:col>8</xdr:col>
      <xdr:colOff>3152775</xdr:colOff>
      <xdr:row>32</xdr:row>
      <xdr:rowOff>114300</xdr:rowOff>
    </xdr:to>
    <xdr:sp macro="" textlink="">
      <xdr:nvSpPr>
        <xdr:cNvPr id="7" name="Arrow: Pentagon 6">
          <a:extLst>
            <a:ext uri="{FF2B5EF4-FFF2-40B4-BE49-F238E27FC236}">
              <a16:creationId xmlns:a16="http://schemas.microsoft.com/office/drawing/2014/main" id="{8FFE69E5-01FA-40B7-A4B0-B6A97B050132}"/>
            </a:ext>
          </a:extLst>
        </xdr:cNvPr>
        <xdr:cNvSpPr/>
      </xdr:nvSpPr>
      <xdr:spPr>
        <a:xfrm>
          <a:off x="10706100" y="6105525"/>
          <a:ext cx="1314450" cy="790575"/>
        </a:xfrm>
        <a:prstGeom prst="homePlate">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lang="en-US" sz="1000"/>
            <a:t>Make special allocations here. Can be negative percentages.</a:t>
          </a:r>
        </a:p>
      </xdr:txBody>
    </xdr:sp>
    <xdr:clientData/>
  </xdr:twoCellAnchor>
  <xdr:twoCellAnchor>
    <xdr:from>
      <xdr:col>10</xdr:col>
      <xdr:colOff>95249</xdr:colOff>
      <xdr:row>23</xdr:row>
      <xdr:rowOff>85726</xdr:rowOff>
    </xdr:from>
    <xdr:to>
      <xdr:col>14</xdr:col>
      <xdr:colOff>781050</xdr:colOff>
      <xdr:row>24</xdr:row>
      <xdr:rowOff>180976</xdr:rowOff>
    </xdr:to>
    <xdr:sp macro="" textlink="">
      <xdr:nvSpPr>
        <xdr:cNvPr id="8" name="Callout: Left Arrow 7">
          <a:extLst>
            <a:ext uri="{FF2B5EF4-FFF2-40B4-BE49-F238E27FC236}">
              <a16:creationId xmlns:a16="http://schemas.microsoft.com/office/drawing/2014/main" id="{E057C45A-35B2-690A-C659-DE8D7875D82F}"/>
            </a:ext>
          </a:extLst>
        </xdr:cNvPr>
        <xdr:cNvSpPr/>
      </xdr:nvSpPr>
      <xdr:spPr>
        <a:xfrm>
          <a:off x="12687299" y="5143501"/>
          <a:ext cx="4362451" cy="285750"/>
        </a:xfrm>
        <a:prstGeom prst="leftArrowCallout">
          <a:avLst>
            <a:gd name="adj1" fmla="val 25000"/>
            <a:gd name="adj2" fmla="val 25000"/>
            <a:gd name="adj3" fmla="val 25000"/>
            <a:gd name="adj4" fmla="val 91615"/>
          </a:avLst>
        </a:prstGeom>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l"/>
          <a:r>
            <a:rPr lang="en-US" sz="1000"/>
            <a:t>Select "Yes" if income from P1 is not blended with P3 income.</a:t>
          </a:r>
        </a:p>
      </xdr:txBody>
    </xdr:sp>
    <xdr:clientData/>
  </xdr:twoCellAnchor>
  <xdr:twoCellAnchor>
    <xdr:from>
      <xdr:col>8</xdr:col>
      <xdr:colOff>1857375</xdr:colOff>
      <xdr:row>89</xdr:row>
      <xdr:rowOff>76201</xdr:rowOff>
    </xdr:from>
    <xdr:to>
      <xdr:col>8</xdr:col>
      <xdr:colOff>3171825</xdr:colOff>
      <xdr:row>92</xdr:row>
      <xdr:rowOff>95251</xdr:rowOff>
    </xdr:to>
    <xdr:sp macro="" textlink="">
      <xdr:nvSpPr>
        <xdr:cNvPr id="9" name="Arrow: Pentagon 8">
          <a:extLst>
            <a:ext uri="{FF2B5EF4-FFF2-40B4-BE49-F238E27FC236}">
              <a16:creationId xmlns:a16="http://schemas.microsoft.com/office/drawing/2014/main" id="{6080C621-AAFB-42E8-A7E0-9A39D91EE484}"/>
            </a:ext>
          </a:extLst>
        </xdr:cNvPr>
        <xdr:cNvSpPr/>
      </xdr:nvSpPr>
      <xdr:spPr>
        <a:xfrm>
          <a:off x="10725150" y="18383251"/>
          <a:ext cx="1314450" cy="590550"/>
        </a:xfrm>
        <a:prstGeom prst="homePlate">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lang="en-US" sz="1000"/>
            <a:t>Corresponding special allocations are reflected here.</a:t>
          </a:r>
        </a:p>
      </xdr:txBody>
    </xdr:sp>
    <xdr:clientData/>
  </xdr:twoCellAnchor>
  <xdr:twoCellAnchor>
    <xdr:from>
      <xdr:col>0</xdr:col>
      <xdr:colOff>2476500</xdr:colOff>
      <xdr:row>70</xdr:row>
      <xdr:rowOff>47625</xdr:rowOff>
    </xdr:from>
    <xdr:to>
      <xdr:col>2</xdr:col>
      <xdr:colOff>261938</xdr:colOff>
      <xdr:row>75</xdr:row>
      <xdr:rowOff>47625</xdr:rowOff>
    </xdr:to>
    <xdr:sp macro="" textlink="">
      <xdr:nvSpPr>
        <xdr:cNvPr id="10" name="Callout: Up Arrow 9">
          <a:extLst>
            <a:ext uri="{FF2B5EF4-FFF2-40B4-BE49-F238E27FC236}">
              <a16:creationId xmlns:a16="http://schemas.microsoft.com/office/drawing/2014/main" id="{E8E17BD4-6E43-1258-F3D1-01D26DAA31C9}"/>
            </a:ext>
          </a:extLst>
        </xdr:cNvPr>
        <xdr:cNvSpPr/>
      </xdr:nvSpPr>
      <xdr:spPr>
        <a:xfrm>
          <a:off x="2476500" y="14287500"/>
          <a:ext cx="1452563" cy="1012031"/>
        </a:xfrm>
        <a:prstGeom prst="upArrowCallout">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l"/>
          <a:r>
            <a:rPr lang="en-US" sz="1000"/>
            <a:t>Factor baseline is the sum of all partners'</a:t>
          </a:r>
          <a:r>
            <a:rPr lang="en-US" sz="1000" baseline="0"/>
            <a:t> share of factor baseline</a:t>
          </a:r>
          <a:r>
            <a:rPr lang="en-US" sz="1000"/>
            <a:t> </a:t>
          </a:r>
        </a:p>
      </xdr:txBody>
    </xdr:sp>
    <xdr:clientData/>
  </xdr:twoCellAnchor>
  <xdr:twoCellAnchor>
    <xdr:from>
      <xdr:col>11</xdr:col>
      <xdr:colOff>76199</xdr:colOff>
      <xdr:row>31</xdr:row>
      <xdr:rowOff>85724</xdr:rowOff>
    </xdr:from>
    <xdr:to>
      <xdr:col>13</xdr:col>
      <xdr:colOff>800100</xdr:colOff>
      <xdr:row>38</xdr:row>
      <xdr:rowOff>66674</xdr:rowOff>
    </xdr:to>
    <xdr:sp macro="" textlink="">
      <xdr:nvSpPr>
        <xdr:cNvPr id="11" name="Callout: Left Arrow 10">
          <a:extLst>
            <a:ext uri="{FF2B5EF4-FFF2-40B4-BE49-F238E27FC236}">
              <a16:creationId xmlns:a16="http://schemas.microsoft.com/office/drawing/2014/main" id="{5B21B74D-6C79-C913-2367-98A10A7A0FAA}"/>
            </a:ext>
          </a:extLst>
        </xdr:cNvPr>
        <xdr:cNvSpPr/>
      </xdr:nvSpPr>
      <xdr:spPr>
        <a:xfrm>
          <a:off x="13630274" y="6667499"/>
          <a:ext cx="2533651" cy="1343025"/>
        </a:xfrm>
        <a:prstGeom prst="leftArrowCallout">
          <a:avLst>
            <a:gd name="adj1" fmla="val 6119"/>
            <a:gd name="adj2" fmla="val 5496"/>
            <a:gd name="adj3" fmla="val 25000"/>
            <a:gd name="adj4" fmla="val 59822"/>
          </a:avLst>
        </a:prstGeom>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l"/>
          <a:r>
            <a:rPr lang="en-US" sz="1000"/>
            <a:t>Share</a:t>
          </a:r>
          <a:r>
            <a:rPr lang="en-US" sz="1000" baseline="0"/>
            <a:t> of factor baseline is the sum of the absolute value of each item on the K-1.</a:t>
          </a:r>
        </a:p>
        <a:p>
          <a:pPr algn="l"/>
          <a:r>
            <a:rPr lang="en-US" sz="1000" baseline="0"/>
            <a:t>Factor share is the ratio of the share of factor baseline over factor baseline.</a:t>
          </a:r>
          <a:endParaRPr lang="en-US" sz="1000"/>
        </a:p>
      </xdr:txBody>
    </xdr:sp>
    <xdr:clientData/>
  </xdr:twoCellAnchor>
  <xdr:twoCellAnchor>
    <xdr:from>
      <xdr:col>11</xdr:col>
      <xdr:colOff>714375</xdr:colOff>
      <xdr:row>94</xdr:row>
      <xdr:rowOff>103910</xdr:rowOff>
    </xdr:from>
    <xdr:to>
      <xdr:col>14</xdr:col>
      <xdr:colOff>419100</xdr:colOff>
      <xdr:row>98</xdr:row>
      <xdr:rowOff>1</xdr:rowOff>
    </xdr:to>
    <xdr:sp macro="" textlink="">
      <xdr:nvSpPr>
        <xdr:cNvPr id="14" name="Callout: Down Arrow 13">
          <a:extLst>
            <a:ext uri="{FF2B5EF4-FFF2-40B4-BE49-F238E27FC236}">
              <a16:creationId xmlns:a16="http://schemas.microsoft.com/office/drawing/2014/main" id="{EF3AE828-FF4A-6D8B-7E36-02B394A2DD44}"/>
            </a:ext>
          </a:extLst>
        </xdr:cNvPr>
        <xdr:cNvSpPr/>
      </xdr:nvSpPr>
      <xdr:spPr>
        <a:xfrm>
          <a:off x="14257193" y="18859501"/>
          <a:ext cx="2432339" cy="666750"/>
        </a:xfrm>
        <a:prstGeom prst="downArrowCallout">
          <a:avLst/>
        </a:prstGeom>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l"/>
          <a:r>
            <a:rPr lang="en-US" sz="1100"/>
            <a:t>Jane Doe's two businesses</a:t>
          </a:r>
          <a:r>
            <a:rPr lang="en-US" sz="1100" baseline="0"/>
            <a:t> </a:t>
          </a:r>
          <a:r>
            <a:rPr lang="en-US" sz="1100"/>
            <a:t>are</a:t>
          </a:r>
          <a:r>
            <a:rPr lang="en-US" sz="1100" baseline="0"/>
            <a:t> assumed to be separate. No blending.</a:t>
          </a:r>
          <a:endParaRPr lang="en-US" sz="1100"/>
        </a:p>
      </xdr:txBody>
    </xdr:sp>
    <xdr:clientData/>
  </xdr:twoCellAnchor>
  <xdr:twoCellAnchor>
    <xdr:from>
      <xdr:col>21</xdr:col>
      <xdr:colOff>400050</xdr:colOff>
      <xdr:row>5</xdr:row>
      <xdr:rowOff>19050</xdr:rowOff>
    </xdr:from>
    <xdr:to>
      <xdr:col>23</xdr:col>
      <xdr:colOff>533400</xdr:colOff>
      <xdr:row>9</xdr:row>
      <xdr:rowOff>95250</xdr:rowOff>
    </xdr:to>
    <xdr:sp macro="" textlink="">
      <xdr:nvSpPr>
        <xdr:cNvPr id="15" name="Callout: Left Arrow 14">
          <a:extLst>
            <a:ext uri="{FF2B5EF4-FFF2-40B4-BE49-F238E27FC236}">
              <a16:creationId xmlns:a16="http://schemas.microsoft.com/office/drawing/2014/main" id="{151C61AF-CC0E-92FF-4407-69D228D1315E}"/>
            </a:ext>
          </a:extLst>
        </xdr:cNvPr>
        <xdr:cNvSpPr/>
      </xdr:nvSpPr>
      <xdr:spPr>
        <a:xfrm>
          <a:off x="24526875" y="1571625"/>
          <a:ext cx="1981200" cy="838200"/>
        </a:xfrm>
        <a:prstGeom prst="leftArrowCallou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lang="en-US" sz="1100"/>
            <a:t>Corp</a:t>
          </a:r>
          <a:r>
            <a:rPr lang="en-US" sz="1100" baseline="0"/>
            <a:t> self-generated income comes from a single business.</a:t>
          </a:r>
          <a:endParaRPr lang="en-US" sz="1100"/>
        </a:p>
      </xdr:txBody>
    </xdr:sp>
    <xdr:clientData/>
  </xdr:twoCellAnchor>
  <xdr:twoCellAnchor>
    <xdr:from>
      <xdr:col>18</xdr:col>
      <xdr:colOff>60614</xdr:colOff>
      <xdr:row>44</xdr:row>
      <xdr:rowOff>25977</xdr:rowOff>
    </xdr:from>
    <xdr:to>
      <xdr:col>25</xdr:col>
      <xdr:colOff>381000</xdr:colOff>
      <xdr:row>50</xdr:row>
      <xdr:rowOff>77930</xdr:rowOff>
    </xdr:to>
    <xdr:sp macro="" textlink="">
      <xdr:nvSpPr>
        <xdr:cNvPr id="2" name="Callout: Left Arrow 1">
          <a:extLst>
            <a:ext uri="{FF2B5EF4-FFF2-40B4-BE49-F238E27FC236}">
              <a16:creationId xmlns:a16="http://schemas.microsoft.com/office/drawing/2014/main" id="{DB8E3B54-C8C0-D081-2082-872DC633C03E}"/>
            </a:ext>
          </a:extLst>
        </xdr:cNvPr>
        <xdr:cNvSpPr/>
      </xdr:nvSpPr>
      <xdr:spPr>
        <a:xfrm>
          <a:off x="21396614" y="9092045"/>
          <a:ext cx="6719454" cy="1229590"/>
        </a:xfrm>
        <a:prstGeom prst="leftArrowCallout">
          <a:avLst>
            <a:gd name="adj1" fmla="val 4166"/>
            <a:gd name="adj2" fmla="val 7955"/>
            <a:gd name="adj3" fmla="val 25000"/>
            <a:gd name="adj4" fmla="val 27329"/>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t"/>
        <a:lstStyle/>
        <a:p>
          <a:pPr algn="l"/>
          <a:r>
            <a:rPr lang="en-US" sz="1100"/>
            <a:t>If P3</a:t>
          </a:r>
          <a:r>
            <a:rPr lang="en-US" sz="1100" baseline="0"/>
            <a:t> blends its distribtive share of P1, or P2, Corp cannot unblend that distributive share. As a result Schoosing "Yes" does not make any difference.</a:t>
          </a:r>
          <a:endParaRPr lang="en-US" sz="1100"/>
        </a:p>
      </xdr:txBody>
    </xdr:sp>
    <xdr:clientData/>
  </xdr:twoCellAnchor>
  <xdr:twoCellAnchor>
    <xdr:from>
      <xdr:col>21</xdr:col>
      <xdr:colOff>138545</xdr:colOff>
      <xdr:row>102</xdr:row>
      <xdr:rowOff>86592</xdr:rowOff>
    </xdr:from>
    <xdr:to>
      <xdr:col>23</xdr:col>
      <xdr:colOff>225137</xdr:colOff>
      <xdr:row>106</xdr:row>
      <xdr:rowOff>103910</xdr:rowOff>
    </xdr:to>
    <xdr:sp macro="" textlink="">
      <xdr:nvSpPr>
        <xdr:cNvPr id="3" name="Callout: Left Arrow 2">
          <a:extLst>
            <a:ext uri="{FF2B5EF4-FFF2-40B4-BE49-F238E27FC236}">
              <a16:creationId xmlns:a16="http://schemas.microsoft.com/office/drawing/2014/main" id="{75F2FD64-BDF7-38DD-4048-3478D00DCDD9}"/>
            </a:ext>
          </a:extLst>
        </xdr:cNvPr>
        <xdr:cNvSpPr/>
      </xdr:nvSpPr>
      <xdr:spPr>
        <a:xfrm>
          <a:off x="24306068" y="19413683"/>
          <a:ext cx="1939637" cy="796636"/>
        </a:xfrm>
        <a:prstGeom prst="leftArrowCallout">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lang="en-US" sz="1100"/>
            <a:t>John Doe self-generates</a:t>
          </a:r>
          <a:r>
            <a:rPr lang="en-US" sz="1100" baseline="0"/>
            <a:t> only ordinary income type 1.</a:t>
          </a:r>
          <a:endParaRPr lang="en-US" sz="1100"/>
        </a:p>
      </xdr:txBody>
    </xdr:sp>
    <xdr:clientData/>
  </xdr:twoCellAnchor>
  <xdr:twoCellAnchor>
    <xdr:from>
      <xdr:col>0</xdr:col>
      <xdr:colOff>1409700</xdr:colOff>
      <xdr:row>59</xdr:row>
      <xdr:rowOff>76200</xdr:rowOff>
    </xdr:from>
    <xdr:to>
      <xdr:col>0</xdr:col>
      <xdr:colOff>3535507</xdr:colOff>
      <xdr:row>62</xdr:row>
      <xdr:rowOff>103909</xdr:rowOff>
    </xdr:to>
    <xdr:sp macro="" textlink="">
      <xdr:nvSpPr>
        <xdr:cNvPr id="4" name="Arrow: Pentagon 3">
          <a:extLst>
            <a:ext uri="{FF2B5EF4-FFF2-40B4-BE49-F238E27FC236}">
              <a16:creationId xmlns:a16="http://schemas.microsoft.com/office/drawing/2014/main" id="{A7F096A0-8A5D-4D4D-8A59-44D70959D8FD}"/>
            </a:ext>
          </a:extLst>
        </xdr:cNvPr>
        <xdr:cNvSpPr/>
      </xdr:nvSpPr>
      <xdr:spPr>
        <a:xfrm>
          <a:off x="1409700" y="12134850"/>
          <a:ext cx="2125807" cy="618259"/>
        </a:xfrm>
        <a:prstGeom prst="homePlate">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lang="en-US" sz="1000"/>
            <a:t>Add factors as needed.</a:t>
          </a:r>
          <a:r>
            <a:rPr lang="en-US" sz="1000" baseline="0"/>
            <a:t> If one of the states uses a 3 factors formula, enter total payroll and property.</a:t>
          </a:r>
          <a:endParaRPr lang="en-US" sz="1000"/>
        </a:p>
      </xdr:txBody>
    </xdr:sp>
    <xdr:clientData/>
  </xdr:twoCellAnchor>
  <xdr:twoCellAnchor>
    <xdr:from>
      <xdr:col>4</xdr:col>
      <xdr:colOff>47625</xdr:colOff>
      <xdr:row>22</xdr:row>
      <xdr:rowOff>66673</xdr:rowOff>
    </xdr:from>
    <xdr:to>
      <xdr:col>5</xdr:col>
      <xdr:colOff>819150</xdr:colOff>
      <xdr:row>25</xdr:row>
      <xdr:rowOff>180975</xdr:rowOff>
    </xdr:to>
    <xdr:sp macro="" textlink="">
      <xdr:nvSpPr>
        <xdr:cNvPr id="12" name="Arrow: Left-Right 11">
          <a:extLst>
            <a:ext uri="{FF2B5EF4-FFF2-40B4-BE49-F238E27FC236}">
              <a16:creationId xmlns:a16="http://schemas.microsoft.com/office/drawing/2014/main" id="{0253B894-289D-2171-B309-EB03112F79F2}"/>
            </a:ext>
          </a:extLst>
        </xdr:cNvPr>
        <xdr:cNvSpPr/>
      </xdr:nvSpPr>
      <xdr:spPr>
        <a:xfrm>
          <a:off x="5591175" y="4933948"/>
          <a:ext cx="1666875" cy="695327"/>
        </a:xfrm>
        <a:prstGeom prst="leftRightArrow">
          <a:avLst>
            <a:gd name="adj1" fmla="val 67391"/>
            <a:gd name="adj2" fmla="val 33366"/>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lang="en-US" sz="1100"/>
            <a:t>Enter zero when</a:t>
          </a:r>
          <a:r>
            <a:rPr lang="en-US" sz="1100" baseline="0"/>
            <a:t> a factor is not used.</a:t>
          </a:r>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F4639F-CF2F-48CB-B91E-4A4FD02724D4}">
  <sheetPr>
    <tabColor theme="6" tint="0.79998168889431442"/>
  </sheetPr>
  <dimension ref="A4:W27"/>
  <sheetViews>
    <sheetView showGridLines="0" workbookViewId="0">
      <selection activeCell="P14" sqref="P14"/>
    </sheetView>
  </sheetViews>
  <sheetFormatPr defaultRowHeight="14.5" x14ac:dyDescent="0.35"/>
  <cols>
    <col min="9" max="9" width="9.54296875" customWidth="1"/>
    <col min="10" max="10" width="12.26953125" customWidth="1"/>
    <col min="11" max="11" width="14.453125" bestFit="1" customWidth="1"/>
    <col min="12" max="12" width="5.81640625" customWidth="1"/>
    <col min="13" max="13" width="20.7265625" style="3" customWidth="1"/>
    <col min="14" max="14" width="6.1796875" style="3" customWidth="1"/>
    <col min="15" max="15" width="11.26953125" style="5" customWidth="1"/>
    <col min="16" max="16" width="14.26953125" bestFit="1" customWidth="1"/>
    <col min="17" max="17" width="5.1796875" customWidth="1"/>
    <col min="18" max="18" width="9.1796875" style="5"/>
    <col min="19" max="19" width="13.81640625" bestFit="1" customWidth="1"/>
    <col min="20" max="20" width="4.7265625" customWidth="1"/>
    <col min="21" max="21" width="13.81640625" bestFit="1" customWidth="1"/>
    <col min="22" max="22" width="3.1796875" customWidth="1"/>
  </cols>
  <sheetData>
    <row r="4" spans="1:21" x14ac:dyDescent="0.35">
      <c r="A4" s="175"/>
      <c r="B4" s="175"/>
      <c r="C4" s="175"/>
      <c r="D4" s="175"/>
      <c r="E4" s="175"/>
      <c r="F4" s="175"/>
      <c r="G4" s="175"/>
      <c r="I4" s="181" t="s">
        <v>0</v>
      </c>
      <c r="J4" t="s">
        <v>1</v>
      </c>
      <c r="O4" s="178" t="s">
        <v>2</v>
      </c>
      <c r="P4" s="5" t="s">
        <v>3</v>
      </c>
      <c r="R4" s="180" t="s">
        <v>4</v>
      </c>
      <c r="S4" t="s">
        <v>3</v>
      </c>
    </row>
    <row r="5" spans="1:21" x14ac:dyDescent="0.35">
      <c r="A5" s="175"/>
      <c r="B5" s="175"/>
      <c r="C5" s="175"/>
      <c r="D5" s="175"/>
      <c r="E5" s="175"/>
      <c r="F5" s="175"/>
      <c r="G5" s="175"/>
    </row>
    <row r="6" spans="1:21" x14ac:dyDescent="0.35">
      <c r="A6" s="175"/>
      <c r="B6" s="175"/>
      <c r="C6" s="175"/>
      <c r="D6" s="175"/>
      <c r="E6" s="175"/>
      <c r="F6" s="175"/>
      <c r="G6" s="175"/>
      <c r="I6" t="s">
        <v>5</v>
      </c>
      <c r="J6" t="s">
        <v>6</v>
      </c>
      <c r="K6" s="8">
        <v>1000000</v>
      </c>
    </row>
    <row r="7" spans="1:21" x14ac:dyDescent="0.35">
      <c r="A7" s="175"/>
      <c r="B7" s="175"/>
      <c r="C7" s="175"/>
      <c r="D7" s="175"/>
      <c r="E7" s="175"/>
      <c r="F7" s="175"/>
      <c r="G7" s="175"/>
      <c r="J7" t="s">
        <v>7</v>
      </c>
      <c r="K7" s="8">
        <v>-500000</v>
      </c>
      <c r="P7" s="8"/>
      <c r="S7" s="8"/>
    </row>
    <row r="8" spans="1:21" x14ac:dyDescent="0.35">
      <c r="A8" s="175"/>
      <c r="B8" s="175"/>
      <c r="C8" s="175"/>
      <c r="D8" s="175"/>
      <c r="E8" s="175"/>
      <c r="F8" s="175"/>
      <c r="G8" s="175"/>
      <c r="J8" t="s">
        <v>8</v>
      </c>
      <c r="K8" s="8">
        <f>K6+K7</f>
        <v>500000</v>
      </c>
      <c r="M8" s="3" t="s">
        <v>9</v>
      </c>
      <c r="N8" s="3" t="s">
        <v>10</v>
      </c>
      <c r="O8" s="5" t="s">
        <v>5</v>
      </c>
      <c r="P8" s="8">
        <v>250000</v>
      </c>
      <c r="R8" s="5" t="s">
        <v>5</v>
      </c>
      <c r="S8" s="8">
        <v>250000</v>
      </c>
    </row>
    <row r="9" spans="1:21" x14ac:dyDescent="0.35">
      <c r="A9" s="175"/>
      <c r="B9" s="175"/>
      <c r="C9" s="175"/>
      <c r="D9" s="175"/>
      <c r="E9" s="175"/>
      <c r="F9" s="175"/>
      <c r="G9" s="175"/>
      <c r="I9" t="s">
        <v>11</v>
      </c>
      <c r="J9" t="s">
        <v>6</v>
      </c>
      <c r="K9" s="8">
        <v>6000000</v>
      </c>
    </row>
    <row r="10" spans="1:21" x14ac:dyDescent="0.35">
      <c r="A10" s="175"/>
      <c r="B10" s="175"/>
      <c r="C10" s="175"/>
      <c r="D10" s="175"/>
      <c r="E10" s="175"/>
      <c r="F10" s="175"/>
      <c r="G10" s="175"/>
      <c r="J10" t="s">
        <v>7</v>
      </c>
      <c r="K10" s="8">
        <v>-4600000</v>
      </c>
      <c r="P10" s="8"/>
      <c r="S10" s="8"/>
    </row>
    <row r="11" spans="1:21" x14ac:dyDescent="0.35">
      <c r="A11" s="175"/>
      <c r="B11" s="175"/>
      <c r="C11" s="175"/>
      <c r="D11" s="175"/>
      <c r="E11" s="175"/>
      <c r="F11" s="175"/>
      <c r="G11" s="175"/>
      <c r="J11" s="176" t="s">
        <v>8</v>
      </c>
      <c r="K11" s="78">
        <f>K9+K10</f>
        <v>1400000</v>
      </c>
      <c r="L11" s="176"/>
      <c r="M11" s="177" t="s">
        <v>12</v>
      </c>
      <c r="N11" s="177" t="s">
        <v>13</v>
      </c>
      <c r="O11" s="179" t="s">
        <v>14</v>
      </c>
      <c r="P11" s="78">
        <v>1400000</v>
      </c>
      <c r="R11" s="5" t="s">
        <v>14</v>
      </c>
      <c r="S11" s="8">
        <v>0</v>
      </c>
    </row>
    <row r="12" spans="1:21" x14ac:dyDescent="0.35">
      <c r="A12" s="175"/>
      <c r="B12" s="175"/>
      <c r="C12" s="175"/>
      <c r="D12" s="175"/>
      <c r="E12" s="175"/>
      <c r="F12" s="175"/>
      <c r="G12" s="175"/>
      <c r="I12" t="s">
        <v>15</v>
      </c>
      <c r="J12" t="s">
        <v>6</v>
      </c>
      <c r="K12" s="8">
        <v>600000</v>
      </c>
    </row>
    <row r="13" spans="1:21" x14ac:dyDescent="0.35">
      <c r="A13" s="175"/>
      <c r="B13" s="175"/>
      <c r="C13" s="175"/>
      <c r="D13" s="175"/>
      <c r="E13" s="175"/>
      <c r="F13" s="175"/>
      <c r="G13" s="175"/>
      <c r="J13" t="s">
        <v>7</v>
      </c>
      <c r="K13" s="8">
        <v>-1000000</v>
      </c>
      <c r="P13" s="8"/>
      <c r="S13" s="8"/>
    </row>
    <row r="14" spans="1:21" x14ac:dyDescent="0.35">
      <c r="A14" s="175"/>
      <c r="B14" s="175"/>
      <c r="C14" s="175"/>
      <c r="D14" s="175"/>
      <c r="E14" s="175"/>
      <c r="F14" s="175"/>
      <c r="G14" s="175"/>
      <c r="J14" t="s">
        <v>8</v>
      </c>
      <c r="K14" s="8">
        <f>K12+K13</f>
        <v>-400000</v>
      </c>
      <c r="M14" s="3" t="s">
        <v>12</v>
      </c>
      <c r="N14" s="3" t="s">
        <v>16</v>
      </c>
      <c r="O14" s="5" t="s">
        <v>15</v>
      </c>
      <c r="P14" s="8">
        <v>-1000000</v>
      </c>
      <c r="R14" s="5" t="s">
        <v>15</v>
      </c>
      <c r="S14" s="8">
        <v>600000</v>
      </c>
    </row>
    <row r="15" spans="1:21" x14ac:dyDescent="0.35">
      <c r="A15" s="175"/>
      <c r="B15" s="175"/>
      <c r="C15" s="175"/>
      <c r="D15" s="175"/>
      <c r="E15" s="175"/>
      <c r="F15" s="175"/>
      <c r="G15" s="175"/>
      <c r="K15" s="8"/>
      <c r="P15" s="8"/>
      <c r="S15" s="8"/>
    </row>
    <row r="16" spans="1:21" x14ac:dyDescent="0.35">
      <c r="A16" s="175"/>
      <c r="B16" s="175"/>
      <c r="C16" s="175"/>
      <c r="D16" s="175"/>
      <c r="E16" s="175"/>
      <c r="F16" s="175"/>
      <c r="G16" s="175"/>
      <c r="N16" s="3" t="s">
        <v>17</v>
      </c>
      <c r="O16" s="5" t="s">
        <v>18</v>
      </c>
      <c r="P16" s="8">
        <f>P14+P11+P8</f>
        <v>650000</v>
      </c>
      <c r="S16" s="8">
        <f>S14+S11+S8</f>
        <v>850000</v>
      </c>
      <c r="U16" s="30">
        <f>S16+P16</f>
        <v>1500000</v>
      </c>
    </row>
    <row r="17" spans="1:23" x14ac:dyDescent="0.35">
      <c r="A17" s="175"/>
      <c r="B17" s="175"/>
      <c r="C17" s="175"/>
      <c r="D17" s="175"/>
      <c r="E17" s="175"/>
      <c r="F17" s="175"/>
      <c r="G17" s="175"/>
      <c r="P17" s="8"/>
      <c r="S17" s="8"/>
    </row>
    <row r="18" spans="1:23" x14ac:dyDescent="0.35">
      <c r="A18" s="175"/>
      <c r="B18" s="175"/>
      <c r="C18" s="175"/>
      <c r="D18" s="175"/>
      <c r="E18" s="175"/>
      <c r="F18" s="175"/>
      <c r="G18" s="175"/>
      <c r="I18" t="s">
        <v>19</v>
      </c>
      <c r="K18" s="30">
        <f>K8+K11+K14</f>
        <v>1500000</v>
      </c>
      <c r="M18" s="3" t="s">
        <v>20</v>
      </c>
      <c r="O18" s="5" t="s">
        <v>21</v>
      </c>
      <c r="P18" s="37">
        <f>ABS(P14)+ABS(P11)+ABS(P8)</f>
        <v>2650000</v>
      </c>
      <c r="Q18" s="5" t="s">
        <v>22</v>
      </c>
      <c r="R18" s="5" t="s">
        <v>21</v>
      </c>
      <c r="S18" s="37">
        <f>ABS(S14)+ABS(S11)+ABS(S8)</f>
        <v>850000</v>
      </c>
      <c r="T18" s="5" t="s">
        <v>23</v>
      </c>
      <c r="U18" s="32">
        <f>S18+P18</f>
        <v>3500000</v>
      </c>
      <c r="W18" t="s">
        <v>24</v>
      </c>
    </row>
    <row r="19" spans="1:23" x14ac:dyDescent="0.35">
      <c r="A19" s="175"/>
      <c r="B19" s="175"/>
      <c r="C19" s="175"/>
      <c r="D19" s="175"/>
      <c r="E19" s="175"/>
      <c r="F19" s="175"/>
      <c r="G19" s="175"/>
    </row>
    <row r="20" spans="1:23" x14ac:dyDescent="0.35">
      <c r="A20" s="175"/>
      <c r="B20" s="175"/>
      <c r="C20" s="175"/>
      <c r="D20" s="175"/>
      <c r="E20" s="175"/>
      <c r="F20" s="175"/>
      <c r="G20" s="175"/>
      <c r="M20" s="3" t="s">
        <v>25</v>
      </c>
      <c r="P20">
        <f>P18/U18</f>
        <v>0.75714285714285712</v>
      </c>
      <c r="S20">
        <f>S18/U18</f>
        <v>0.24285714285714285</v>
      </c>
      <c r="U20" s="33">
        <f>S20+P20</f>
        <v>1</v>
      </c>
    </row>
    <row r="21" spans="1:23" x14ac:dyDescent="0.35">
      <c r="A21" s="175"/>
      <c r="B21" s="175"/>
      <c r="C21" s="175"/>
      <c r="D21" s="175"/>
      <c r="E21" s="175"/>
      <c r="F21" s="175"/>
      <c r="G21" s="175"/>
      <c r="I21" t="s">
        <v>26</v>
      </c>
      <c r="K21" s="35">
        <f>K12+K9+K6</f>
        <v>7600000</v>
      </c>
      <c r="M21" s="3" t="s">
        <v>27</v>
      </c>
      <c r="P21" s="38">
        <f>P20*K21</f>
        <v>5754285.7142857146</v>
      </c>
      <c r="Q21" s="5" t="s">
        <v>22</v>
      </c>
      <c r="S21" s="38">
        <f>S20*K21</f>
        <v>1845714.2857142857</v>
      </c>
      <c r="T21" s="5" t="s">
        <v>23</v>
      </c>
      <c r="U21" s="36">
        <f>S21+P21</f>
        <v>7600000</v>
      </c>
    </row>
    <row r="22" spans="1:23" x14ac:dyDescent="0.35">
      <c r="A22" s="175"/>
      <c r="B22" s="175"/>
      <c r="C22" s="175"/>
      <c r="D22" s="175"/>
      <c r="E22" s="175"/>
      <c r="F22" s="175"/>
      <c r="G22" s="175"/>
    </row>
    <row r="23" spans="1:23" x14ac:dyDescent="0.35">
      <c r="A23" s="175"/>
      <c r="B23" s="175"/>
      <c r="C23" s="175"/>
      <c r="D23" s="175"/>
      <c r="E23" s="175"/>
      <c r="F23" s="175"/>
      <c r="G23" s="175"/>
    </row>
    <row r="24" spans="1:23" x14ac:dyDescent="0.35">
      <c r="A24" s="175"/>
      <c r="B24" s="175"/>
      <c r="C24" s="175"/>
      <c r="D24" s="175"/>
      <c r="E24" s="175"/>
      <c r="F24" s="175"/>
      <c r="G24" s="175"/>
    </row>
    <row r="25" spans="1:23" x14ac:dyDescent="0.35">
      <c r="A25" s="175"/>
      <c r="B25" s="175"/>
      <c r="C25" s="175"/>
      <c r="D25" s="175"/>
      <c r="E25" s="175"/>
      <c r="F25" s="175"/>
      <c r="G25" s="175"/>
    </row>
    <row r="26" spans="1:23" x14ac:dyDescent="0.35">
      <c r="A26" s="175"/>
      <c r="B26" s="175"/>
      <c r="C26" s="175"/>
      <c r="D26" s="175"/>
      <c r="E26" s="175"/>
      <c r="F26" s="175"/>
      <c r="G26" s="175"/>
    </row>
    <row r="27" spans="1:23" x14ac:dyDescent="0.35">
      <c r="A27" s="175"/>
      <c r="B27" s="175"/>
      <c r="C27" s="175"/>
      <c r="D27" s="175"/>
      <c r="E27" s="175"/>
      <c r="F27" s="175"/>
      <c r="G27" s="175"/>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A37F8B-92C0-4C7B-B44F-A233AA410F1D}">
  <sheetPr>
    <tabColor rgb="FFFFC000"/>
  </sheetPr>
  <dimension ref="G3:S36"/>
  <sheetViews>
    <sheetView showGridLines="0" zoomScale="70" zoomScaleNormal="70" workbookViewId="0">
      <selection activeCell="AE38" sqref="AE38"/>
    </sheetView>
  </sheetViews>
  <sheetFormatPr defaultRowHeight="14.5" x14ac:dyDescent="0.35"/>
  <sheetData>
    <row r="3" spans="7:19" x14ac:dyDescent="0.35">
      <c r="G3" s="5"/>
      <c r="H3" s="5"/>
      <c r="I3" s="5"/>
      <c r="J3" s="5"/>
      <c r="K3" s="5"/>
      <c r="L3" s="5"/>
      <c r="M3" s="5"/>
      <c r="N3" s="5"/>
      <c r="O3" s="5"/>
      <c r="P3" s="5"/>
      <c r="Q3" s="5"/>
      <c r="R3" s="5"/>
      <c r="S3" s="5"/>
    </row>
    <row r="4" spans="7:19" x14ac:dyDescent="0.35">
      <c r="G4" s="5"/>
      <c r="H4" s="5"/>
      <c r="I4" s="5"/>
      <c r="J4" s="5"/>
      <c r="K4" s="5"/>
      <c r="L4" s="5"/>
      <c r="M4" s="5"/>
      <c r="N4" s="5"/>
      <c r="O4" s="5"/>
      <c r="P4" s="5"/>
      <c r="Q4" s="5"/>
      <c r="R4" s="5"/>
      <c r="S4" s="5"/>
    </row>
    <row r="5" spans="7:19" x14ac:dyDescent="0.35">
      <c r="G5" s="5"/>
      <c r="H5" s="5"/>
      <c r="I5" s="5"/>
      <c r="J5" s="5"/>
      <c r="K5" s="5"/>
      <c r="L5" s="5"/>
      <c r="M5" s="5"/>
      <c r="N5" s="5"/>
      <c r="O5" s="5"/>
      <c r="P5" s="5"/>
      <c r="Q5" s="5"/>
      <c r="R5" s="5"/>
      <c r="S5" s="5"/>
    </row>
    <row r="6" spans="7:19" x14ac:dyDescent="0.35">
      <c r="G6" s="5"/>
      <c r="H6" s="5"/>
      <c r="I6" s="5"/>
      <c r="J6" s="5"/>
      <c r="K6" s="5"/>
      <c r="L6" s="5"/>
      <c r="M6" s="5"/>
      <c r="N6" s="5"/>
      <c r="O6" s="5"/>
      <c r="P6" s="5"/>
      <c r="Q6" s="5"/>
      <c r="R6" s="5"/>
      <c r="S6" s="5"/>
    </row>
    <row r="7" spans="7:19" x14ac:dyDescent="0.35">
      <c r="G7" s="5"/>
      <c r="H7" s="5"/>
      <c r="I7" s="5"/>
      <c r="J7" s="5"/>
      <c r="K7" s="5"/>
      <c r="L7" s="5"/>
      <c r="M7" s="5"/>
      <c r="N7" s="5"/>
      <c r="O7" s="5"/>
      <c r="P7" s="5"/>
      <c r="Q7" s="5"/>
      <c r="R7" s="5"/>
      <c r="S7" s="5"/>
    </row>
    <row r="8" spans="7:19" x14ac:dyDescent="0.35">
      <c r="G8" s="5"/>
      <c r="H8" s="5"/>
      <c r="I8" s="5"/>
      <c r="J8" s="5"/>
      <c r="K8" s="5"/>
      <c r="L8" s="5"/>
      <c r="M8" s="5"/>
      <c r="N8" s="5"/>
      <c r="O8" s="5"/>
      <c r="P8" s="5"/>
      <c r="Q8" s="5"/>
      <c r="R8" s="5"/>
      <c r="S8" s="5"/>
    </row>
    <row r="9" spans="7:19" x14ac:dyDescent="0.35">
      <c r="G9" s="5"/>
      <c r="H9" s="5"/>
      <c r="I9" s="5"/>
      <c r="J9" s="5"/>
      <c r="K9" s="5"/>
      <c r="L9" s="5"/>
      <c r="M9" s="5"/>
      <c r="N9" s="5"/>
      <c r="O9" s="5"/>
      <c r="P9" s="5"/>
      <c r="Q9" s="5"/>
      <c r="R9" s="5"/>
      <c r="S9" s="5"/>
    </row>
    <row r="10" spans="7:19" x14ac:dyDescent="0.35">
      <c r="G10" s="5"/>
      <c r="H10" s="5"/>
      <c r="I10" s="5"/>
      <c r="J10" s="5"/>
      <c r="K10" s="5"/>
      <c r="L10" s="5"/>
      <c r="M10" s="5"/>
      <c r="N10" s="5"/>
      <c r="O10" s="5"/>
      <c r="P10" s="5"/>
      <c r="Q10" s="5"/>
      <c r="R10" s="5"/>
      <c r="S10" s="5"/>
    </row>
    <row r="11" spans="7:19" x14ac:dyDescent="0.35">
      <c r="G11" s="5"/>
      <c r="H11" s="5"/>
      <c r="I11" s="5"/>
      <c r="J11" s="5"/>
      <c r="K11" s="5"/>
      <c r="L11" s="5"/>
      <c r="M11" s="5"/>
      <c r="N11" s="5"/>
      <c r="O11" s="5"/>
      <c r="P11" s="5"/>
      <c r="Q11" s="5"/>
      <c r="R11" s="5"/>
      <c r="S11" s="5"/>
    </row>
    <row r="12" spans="7:19" x14ac:dyDescent="0.35">
      <c r="G12" s="5"/>
      <c r="H12" s="5"/>
      <c r="I12" s="5"/>
      <c r="J12" s="5"/>
      <c r="K12" s="5"/>
      <c r="L12" s="5"/>
      <c r="M12" s="5"/>
      <c r="N12" s="5"/>
      <c r="O12" s="5"/>
      <c r="P12" s="5"/>
      <c r="Q12" s="5"/>
      <c r="R12" s="5"/>
      <c r="S12" s="5"/>
    </row>
    <row r="13" spans="7:19" x14ac:dyDescent="0.35">
      <c r="G13" s="5"/>
      <c r="H13" s="5"/>
      <c r="I13" s="5"/>
      <c r="J13" s="5"/>
      <c r="K13" s="5"/>
      <c r="L13" s="5"/>
      <c r="M13" s="5"/>
      <c r="N13" s="5"/>
      <c r="O13" s="5"/>
      <c r="P13" s="5"/>
      <c r="Q13" s="5"/>
      <c r="R13" s="5"/>
      <c r="S13" s="5"/>
    </row>
    <row r="14" spans="7:19" x14ac:dyDescent="0.35">
      <c r="G14" s="5"/>
      <c r="H14" s="5"/>
      <c r="I14" s="5"/>
      <c r="J14" s="5"/>
      <c r="K14" s="5"/>
      <c r="L14" s="5"/>
      <c r="M14" s="5"/>
      <c r="N14" s="5"/>
      <c r="O14" s="5"/>
      <c r="P14" s="5"/>
      <c r="Q14" s="5"/>
      <c r="R14" s="5"/>
      <c r="S14" s="5"/>
    </row>
    <row r="15" spans="7:19" x14ac:dyDescent="0.35">
      <c r="G15" s="5"/>
      <c r="H15" s="5"/>
      <c r="I15" s="5"/>
      <c r="J15" s="5"/>
      <c r="K15" s="5"/>
      <c r="L15" s="5"/>
      <c r="M15" s="5"/>
      <c r="N15" s="5"/>
      <c r="O15" s="5"/>
      <c r="P15" s="5"/>
      <c r="Q15" s="5"/>
      <c r="R15" s="5"/>
      <c r="S15" s="5"/>
    </row>
    <row r="16" spans="7:19" x14ac:dyDescent="0.35">
      <c r="H16" s="5"/>
      <c r="I16" s="5"/>
      <c r="J16" s="5"/>
      <c r="K16" s="5"/>
      <c r="L16" s="5"/>
      <c r="M16" s="5"/>
      <c r="N16" s="5"/>
      <c r="O16" s="5"/>
      <c r="P16" s="5"/>
      <c r="Q16" s="5"/>
      <c r="R16" s="5"/>
      <c r="S16" s="5"/>
    </row>
    <row r="17" spans="7:19" x14ac:dyDescent="0.35">
      <c r="G17" s="5"/>
      <c r="H17" s="5"/>
      <c r="I17" s="5"/>
      <c r="J17" s="5"/>
      <c r="K17" s="5"/>
      <c r="L17" s="5"/>
      <c r="M17" s="5"/>
      <c r="N17" s="5"/>
      <c r="O17" s="5"/>
      <c r="P17" s="5"/>
      <c r="Q17" s="5"/>
      <c r="R17" s="5"/>
      <c r="S17" s="5"/>
    </row>
    <row r="18" spans="7:19" x14ac:dyDescent="0.35">
      <c r="G18" s="5"/>
      <c r="H18" s="5"/>
      <c r="I18" s="5"/>
      <c r="J18" s="5"/>
      <c r="K18" s="5"/>
      <c r="L18" s="5"/>
      <c r="M18" s="5"/>
      <c r="N18" s="5"/>
      <c r="O18" s="5"/>
      <c r="P18" s="5"/>
      <c r="Q18" s="5"/>
      <c r="R18" s="5"/>
      <c r="S18" s="5"/>
    </row>
    <row r="19" spans="7:19" x14ac:dyDescent="0.35">
      <c r="G19" s="5"/>
      <c r="H19" s="5"/>
      <c r="I19" s="5"/>
      <c r="J19" s="5"/>
      <c r="K19" s="5"/>
      <c r="L19" s="5"/>
      <c r="M19" s="5"/>
      <c r="N19" s="5"/>
      <c r="O19" s="5"/>
      <c r="P19" s="5"/>
      <c r="Q19" s="5"/>
      <c r="R19" s="5"/>
      <c r="S19" s="5"/>
    </row>
    <row r="20" spans="7:19" x14ac:dyDescent="0.35">
      <c r="G20" s="5"/>
      <c r="H20" s="5"/>
      <c r="I20" s="5"/>
      <c r="J20" s="5"/>
      <c r="K20" s="5"/>
      <c r="L20" s="5"/>
      <c r="M20" s="5"/>
      <c r="N20" s="5"/>
      <c r="O20" s="5"/>
      <c r="P20" s="5"/>
      <c r="Q20" s="5"/>
      <c r="R20" s="5"/>
      <c r="S20" s="5"/>
    </row>
    <row r="21" spans="7:19" x14ac:dyDescent="0.35">
      <c r="G21" s="5"/>
      <c r="H21" s="5"/>
      <c r="I21" s="5"/>
      <c r="J21" s="5"/>
      <c r="K21" s="5"/>
      <c r="L21" s="5"/>
      <c r="M21" s="5"/>
      <c r="N21" s="5"/>
      <c r="O21" s="5"/>
      <c r="P21" s="5"/>
      <c r="Q21" s="5"/>
      <c r="R21" s="5"/>
      <c r="S21" s="5"/>
    </row>
    <row r="22" spans="7:19" x14ac:dyDescent="0.35">
      <c r="G22" s="5"/>
      <c r="H22" s="5"/>
      <c r="I22" s="5"/>
      <c r="J22" s="5"/>
      <c r="K22" s="5"/>
      <c r="L22" s="5"/>
      <c r="M22" s="5"/>
      <c r="N22" s="5"/>
      <c r="O22" s="5"/>
      <c r="P22" s="5"/>
      <c r="Q22" s="5"/>
      <c r="R22" s="5"/>
      <c r="S22" s="5"/>
    </row>
    <row r="23" spans="7:19" x14ac:dyDescent="0.35">
      <c r="G23" s="5"/>
      <c r="H23" s="5"/>
      <c r="I23" s="5"/>
      <c r="J23" s="5"/>
      <c r="K23" s="5"/>
      <c r="L23" s="5"/>
      <c r="M23" s="5"/>
      <c r="N23" s="5"/>
      <c r="O23" s="5"/>
      <c r="P23" s="5"/>
      <c r="Q23" s="5"/>
      <c r="R23" s="5"/>
      <c r="S23" s="5"/>
    </row>
    <row r="24" spans="7:19" x14ac:dyDescent="0.35">
      <c r="G24" s="5"/>
      <c r="H24" s="5"/>
      <c r="I24" s="5"/>
      <c r="J24" s="5"/>
      <c r="K24" s="5"/>
      <c r="L24" s="5"/>
      <c r="M24" s="5"/>
      <c r="N24" s="5"/>
      <c r="O24" s="5"/>
      <c r="P24" s="5"/>
      <c r="Q24" s="5"/>
      <c r="R24" s="5"/>
      <c r="S24" s="5"/>
    </row>
    <row r="25" spans="7:19" x14ac:dyDescent="0.35">
      <c r="G25" s="5"/>
      <c r="H25" s="5"/>
      <c r="I25" s="5"/>
      <c r="J25" s="5"/>
      <c r="K25" s="5"/>
      <c r="L25" s="5"/>
      <c r="M25" s="5"/>
      <c r="N25" s="5"/>
      <c r="O25" s="5"/>
      <c r="P25" s="5"/>
      <c r="Q25" s="5"/>
      <c r="R25" s="5"/>
      <c r="S25" s="5"/>
    </row>
    <row r="26" spans="7:19" x14ac:dyDescent="0.35">
      <c r="G26" s="5"/>
      <c r="H26" s="5"/>
      <c r="I26" s="5"/>
      <c r="J26" s="5"/>
      <c r="K26" s="5"/>
      <c r="L26" s="5"/>
      <c r="M26" s="5"/>
      <c r="N26" s="5"/>
      <c r="O26" s="5"/>
      <c r="P26" s="5"/>
      <c r="Q26" s="5"/>
      <c r="R26" s="5"/>
      <c r="S26" s="5"/>
    </row>
    <row r="27" spans="7:19" x14ac:dyDescent="0.35">
      <c r="G27" s="5"/>
      <c r="H27" s="5"/>
      <c r="I27" s="5"/>
      <c r="J27" s="5"/>
      <c r="K27" s="5"/>
      <c r="L27" s="5"/>
      <c r="M27" s="5"/>
      <c r="N27" s="5"/>
      <c r="O27" s="5"/>
      <c r="P27" s="5"/>
      <c r="Q27" s="5"/>
      <c r="R27" s="5"/>
      <c r="S27" s="5"/>
    </row>
    <row r="28" spans="7:19" x14ac:dyDescent="0.35">
      <c r="G28" s="5"/>
      <c r="H28" s="5"/>
      <c r="I28" s="5"/>
      <c r="J28" s="5"/>
      <c r="K28" s="5"/>
      <c r="L28" s="5"/>
      <c r="M28" s="5"/>
      <c r="N28" s="5"/>
      <c r="O28" s="5"/>
      <c r="P28" s="5"/>
      <c r="Q28" s="5"/>
      <c r="R28" s="5"/>
      <c r="S28" s="5"/>
    </row>
    <row r="29" spans="7:19" x14ac:dyDescent="0.35">
      <c r="G29" s="5"/>
      <c r="H29" s="5"/>
      <c r="I29" s="5"/>
      <c r="J29" s="5"/>
      <c r="K29" s="5"/>
      <c r="L29" s="5"/>
      <c r="M29" s="5"/>
      <c r="N29" s="5"/>
      <c r="O29" s="5"/>
      <c r="P29" s="5"/>
      <c r="Q29" s="5"/>
      <c r="R29" s="5"/>
      <c r="S29" s="5"/>
    </row>
    <row r="30" spans="7:19" x14ac:dyDescent="0.35">
      <c r="G30" s="5"/>
      <c r="H30" s="5"/>
      <c r="I30" s="5"/>
      <c r="J30" s="5"/>
      <c r="K30" s="5"/>
      <c r="L30" s="5"/>
      <c r="M30" s="5"/>
      <c r="N30" s="5"/>
      <c r="O30" s="5"/>
      <c r="P30" s="5"/>
      <c r="Q30" s="5"/>
      <c r="R30" s="5"/>
      <c r="S30" s="5"/>
    </row>
    <row r="31" spans="7:19" x14ac:dyDescent="0.35">
      <c r="G31" s="5"/>
      <c r="H31" s="5"/>
      <c r="I31" s="5"/>
      <c r="J31" s="5"/>
      <c r="K31" s="5"/>
      <c r="L31" s="5"/>
      <c r="M31" s="5"/>
      <c r="N31" s="5"/>
      <c r="O31" s="5"/>
      <c r="P31" s="5"/>
      <c r="Q31" s="5"/>
      <c r="R31" s="5"/>
      <c r="S31" s="5"/>
    </row>
    <row r="32" spans="7:19" x14ac:dyDescent="0.35">
      <c r="G32" s="5"/>
      <c r="H32" s="5"/>
      <c r="I32" s="5"/>
      <c r="J32" s="5"/>
      <c r="K32" s="5"/>
      <c r="L32" s="5"/>
      <c r="M32" s="5"/>
      <c r="N32" s="5"/>
      <c r="O32" s="5"/>
      <c r="P32" s="5"/>
      <c r="Q32" s="5"/>
      <c r="R32" s="5"/>
      <c r="S32" s="5"/>
    </row>
    <row r="33" spans="7:19" x14ac:dyDescent="0.35">
      <c r="G33" s="5"/>
      <c r="H33" s="5"/>
      <c r="I33" s="5"/>
      <c r="J33" s="5"/>
      <c r="K33" s="5"/>
      <c r="L33" s="5"/>
      <c r="M33" s="5"/>
      <c r="N33" s="5"/>
      <c r="O33" s="5"/>
      <c r="P33" s="5"/>
      <c r="Q33" s="5"/>
      <c r="R33" s="5"/>
      <c r="S33" s="5"/>
    </row>
    <row r="34" spans="7:19" x14ac:dyDescent="0.35">
      <c r="G34" s="5"/>
      <c r="H34" s="5"/>
      <c r="I34" s="5"/>
      <c r="J34" s="5"/>
      <c r="K34" s="5"/>
      <c r="L34" s="5"/>
      <c r="M34" s="5"/>
      <c r="N34" s="5"/>
      <c r="O34" s="5"/>
      <c r="P34" s="5"/>
      <c r="Q34" s="5"/>
      <c r="R34" s="5"/>
      <c r="S34" s="5"/>
    </row>
    <row r="35" spans="7:19" x14ac:dyDescent="0.35">
      <c r="G35" s="5"/>
      <c r="H35" s="5"/>
      <c r="I35" s="5"/>
      <c r="J35" s="5"/>
      <c r="K35" s="5"/>
      <c r="L35" s="5"/>
      <c r="M35" s="5"/>
      <c r="N35" s="5"/>
      <c r="O35" s="5"/>
      <c r="P35" s="5"/>
      <c r="Q35" s="5"/>
      <c r="R35" s="5"/>
      <c r="S35" s="5"/>
    </row>
    <row r="36" spans="7:19" x14ac:dyDescent="0.35">
      <c r="G36" s="5"/>
      <c r="H36" s="5"/>
      <c r="I36" s="5"/>
      <c r="J36" s="5"/>
      <c r="K36" s="5"/>
      <c r="L36" s="5"/>
      <c r="M36" s="5"/>
      <c r="N36" s="5"/>
      <c r="O36" s="5"/>
      <c r="P36" s="5"/>
      <c r="Q36" s="5"/>
      <c r="R36" s="5"/>
      <c r="S36" s="5"/>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01ADCA-455A-4BCB-A616-8BFC6D53B2A3}">
  <sheetPr>
    <tabColor rgb="FFCCECFF"/>
  </sheetPr>
  <dimension ref="A1:Y418"/>
  <sheetViews>
    <sheetView showGridLines="0" tabSelected="1" zoomScaleNormal="100" workbookViewId="0">
      <selection activeCell="M30" sqref="M30"/>
    </sheetView>
  </sheetViews>
  <sheetFormatPr defaultRowHeight="14.5" x14ac:dyDescent="0.35"/>
  <cols>
    <col min="1" max="1" width="53.54296875" customWidth="1"/>
    <col min="2" max="2" width="1.453125" customWidth="1"/>
    <col min="3" max="3" width="14.7265625" customWidth="1"/>
    <col min="4" max="7" width="13.453125" customWidth="1"/>
    <col min="8" max="8" width="1.7265625" style="18" customWidth="1"/>
    <col min="9" max="9" width="55.81640625" customWidth="1"/>
    <col min="10" max="10" width="7.7265625" customWidth="1"/>
    <col min="11" max="11" width="14.453125" customWidth="1"/>
    <col min="12" max="14" width="13.54296875" customWidth="1"/>
    <col min="15" max="15" width="13.453125" style="18" customWidth="1"/>
    <col min="16" max="16" width="1.7265625" style="18" customWidth="1"/>
    <col min="17" max="17" width="52.453125" customWidth="1"/>
    <col min="18" max="18" width="7" customWidth="1"/>
    <col min="19" max="19" width="14.7265625" customWidth="1"/>
    <col min="20" max="20" width="15.453125" customWidth="1"/>
    <col min="21" max="21" width="13.54296875" customWidth="1"/>
    <col min="22" max="22" width="13.81640625" customWidth="1"/>
    <col min="23" max="23" width="13.26953125" customWidth="1"/>
    <col min="24" max="24" width="13.7265625" customWidth="1"/>
    <col min="25" max="25" width="12" customWidth="1"/>
    <col min="26" max="26" width="14.26953125" customWidth="1"/>
  </cols>
  <sheetData>
    <row r="1" spans="1:21" ht="33.75" customHeight="1" x14ac:dyDescent="0.5">
      <c r="A1" s="24" t="s">
        <v>28</v>
      </c>
      <c r="F1" s="127" t="s">
        <v>29</v>
      </c>
      <c r="G1" s="131" t="s">
        <v>30</v>
      </c>
      <c r="H1"/>
      <c r="O1"/>
      <c r="P1"/>
    </row>
    <row r="2" spans="1:21" ht="33.75" customHeight="1" x14ac:dyDescent="0.6">
      <c r="A2" s="24"/>
      <c r="C2" s="57" t="s">
        <v>31</v>
      </c>
      <c r="H2"/>
      <c r="K2" s="57" t="s">
        <v>32</v>
      </c>
      <c r="O2"/>
      <c r="P2"/>
      <c r="S2" s="57" t="s">
        <v>33</v>
      </c>
    </row>
    <row r="3" spans="1:21" ht="23.5" customHeight="1" x14ac:dyDescent="0.35">
      <c r="A3" s="52" t="s">
        <v>34</v>
      </c>
      <c r="C3" s="6" t="s">
        <v>35</v>
      </c>
      <c r="D3" s="6" t="s">
        <v>36</v>
      </c>
      <c r="E3" s="6" t="s">
        <v>37</v>
      </c>
      <c r="F3" s="6" t="s">
        <v>38</v>
      </c>
      <c r="G3" s="6" t="s">
        <v>39</v>
      </c>
      <c r="H3" s="19"/>
      <c r="I3" s="198" t="s">
        <v>40</v>
      </c>
      <c r="K3" s="6" t="s">
        <v>35</v>
      </c>
      <c r="L3" s="6" t="s">
        <v>36</v>
      </c>
      <c r="M3" s="6" t="s">
        <v>37</v>
      </c>
      <c r="N3" s="6" t="s">
        <v>38</v>
      </c>
      <c r="O3" s="6" t="s">
        <v>39</v>
      </c>
      <c r="P3" s="19"/>
      <c r="Q3" s="79" t="s">
        <v>41</v>
      </c>
      <c r="S3" s="16" t="s">
        <v>35</v>
      </c>
      <c r="T3" s="26" t="s">
        <v>36</v>
      </c>
      <c r="U3" s="26" t="s">
        <v>42</v>
      </c>
    </row>
    <row r="4" spans="1:21" ht="15" thickBot="1" x14ac:dyDescent="0.4">
      <c r="A4" s="15" t="s">
        <v>43</v>
      </c>
      <c r="C4" s="8"/>
      <c r="D4" s="8"/>
      <c r="E4" s="8"/>
      <c r="F4" s="8"/>
      <c r="G4" s="8"/>
      <c r="H4" s="20"/>
      <c r="I4" s="15" t="s">
        <v>43</v>
      </c>
      <c r="K4" s="8"/>
      <c r="M4" s="8"/>
      <c r="N4" s="8"/>
      <c r="O4" s="8"/>
      <c r="P4" s="20"/>
      <c r="Q4" t="s">
        <v>44</v>
      </c>
    </row>
    <row r="5" spans="1:21" ht="15" thickBot="1" x14ac:dyDescent="0.4">
      <c r="A5" s="4" t="s">
        <v>45</v>
      </c>
      <c r="C5" s="39">
        <f>D5+G5</f>
        <v>9000</v>
      </c>
      <c r="D5" s="117">
        <v>6000</v>
      </c>
      <c r="E5" s="11"/>
      <c r="F5" s="11"/>
      <c r="G5" s="117">
        <v>3000</v>
      </c>
      <c r="H5" s="20"/>
      <c r="I5" s="4" t="s">
        <v>46</v>
      </c>
      <c r="K5" s="39">
        <f>M5</f>
        <v>0</v>
      </c>
      <c r="M5" s="117">
        <v>0</v>
      </c>
      <c r="N5" s="8"/>
      <c r="O5" s="8"/>
      <c r="P5" s="20"/>
      <c r="Q5" s="4" t="s">
        <v>47</v>
      </c>
      <c r="S5" s="12">
        <f>T5+U5</f>
        <v>0</v>
      </c>
      <c r="T5" s="128"/>
      <c r="U5" s="129"/>
    </row>
    <row r="6" spans="1:21" x14ac:dyDescent="0.35">
      <c r="A6" s="4" t="s">
        <v>48</v>
      </c>
      <c r="C6" s="39">
        <f t="shared" ref="C6:C8" si="0">D6+G6</f>
        <v>3000</v>
      </c>
      <c r="D6" s="118">
        <v>3000</v>
      </c>
      <c r="E6" s="11"/>
      <c r="F6" s="11"/>
      <c r="G6" s="118">
        <v>0</v>
      </c>
      <c r="H6" s="20"/>
      <c r="I6" s="4" t="s">
        <v>49</v>
      </c>
      <c r="K6" s="39">
        <f>M6</f>
        <v>0</v>
      </c>
      <c r="M6" s="118">
        <v>0</v>
      </c>
      <c r="N6" s="8"/>
      <c r="O6" s="8"/>
      <c r="P6" s="20"/>
      <c r="Q6" s="4" t="s">
        <v>50</v>
      </c>
      <c r="S6" s="195"/>
    </row>
    <row r="7" spans="1:21" ht="15" thickBot="1" x14ac:dyDescent="0.4">
      <c r="A7" s="4" t="s">
        <v>51</v>
      </c>
      <c r="C7" s="39">
        <f t="shared" si="0"/>
        <v>0</v>
      </c>
      <c r="D7" s="118">
        <v>0</v>
      </c>
      <c r="E7" s="11"/>
      <c r="F7" s="11"/>
      <c r="G7" s="118">
        <v>0</v>
      </c>
      <c r="H7" s="20"/>
      <c r="I7" s="4" t="s">
        <v>51</v>
      </c>
      <c r="K7" s="61">
        <f>M7</f>
        <v>0</v>
      </c>
      <c r="M7" s="118">
        <v>0</v>
      </c>
      <c r="N7" s="130"/>
      <c r="O7" s="130"/>
      <c r="P7" s="20"/>
      <c r="Q7" s="4" t="s">
        <v>52</v>
      </c>
      <c r="S7" s="160">
        <v>0</v>
      </c>
    </row>
    <row r="8" spans="1:21" ht="15" thickBot="1" x14ac:dyDescent="0.4">
      <c r="A8" s="4" t="s">
        <v>53</v>
      </c>
      <c r="C8" s="39">
        <f t="shared" si="0"/>
        <v>0</v>
      </c>
      <c r="D8" s="119">
        <v>0</v>
      </c>
      <c r="E8" s="11"/>
      <c r="F8" s="11"/>
      <c r="G8" s="119">
        <v>0</v>
      </c>
      <c r="H8" s="21"/>
      <c r="I8" s="4" t="s">
        <v>53</v>
      </c>
      <c r="K8" s="61">
        <f>M8</f>
        <v>0</v>
      </c>
      <c r="M8" s="119">
        <v>0</v>
      </c>
      <c r="N8" s="130"/>
      <c r="O8" s="130"/>
      <c r="P8" s="21"/>
      <c r="Q8" s="2" t="s">
        <v>54</v>
      </c>
      <c r="S8" s="12">
        <f>SUM(S5:S7)</f>
        <v>0</v>
      </c>
    </row>
    <row r="9" spans="1:21" ht="14.25" customHeight="1" thickBot="1" x14ac:dyDescent="0.4">
      <c r="A9" s="3" t="s">
        <v>55</v>
      </c>
      <c r="C9" s="12">
        <f>SUM(C5:C7)</f>
        <v>12000</v>
      </c>
      <c r="D9" s="12">
        <f>SUM(D5:D7)</f>
        <v>9000</v>
      </c>
      <c r="E9" s="11"/>
      <c r="F9" s="11"/>
      <c r="G9" s="12">
        <f>SUM(G5:G7)</f>
        <v>3000</v>
      </c>
      <c r="H9" s="21"/>
      <c r="I9" s="3" t="s">
        <v>55</v>
      </c>
      <c r="K9" s="12">
        <f>SUM(K5:K7)</f>
        <v>0</v>
      </c>
      <c r="M9" s="12">
        <f>SUM(M5:M7)</f>
        <v>0</v>
      </c>
      <c r="N9" s="130"/>
      <c r="O9" s="130"/>
      <c r="P9" s="21"/>
      <c r="Q9" s="4" t="s">
        <v>56</v>
      </c>
      <c r="S9" s="12">
        <f>T9+U9</f>
        <v>0</v>
      </c>
      <c r="T9" s="128">
        <v>0</v>
      </c>
      <c r="U9" s="129">
        <v>0</v>
      </c>
    </row>
    <row r="10" spans="1:21" ht="14.25" customHeight="1" thickBot="1" x14ac:dyDescent="0.4">
      <c r="A10" s="3" t="s">
        <v>57</v>
      </c>
      <c r="C10" s="12">
        <f>C9+C8</f>
        <v>12000</v>
      </c>
      <c r="D10" s="12">
        <f>D9+D8</f>
        <v>9000</v>
      </c>
      <c r="E10" s="11"/>
      <c r="F10" s="11"/>
      <c r="G10" s="12">
        <f>G9+G8</f>
        <v>3000</v>
      </c>
      <c r="H10" s="21"/>
      <c r="I10" s="3" t="s">
        <v>57</v>
      </c>
      <c r="K10" s="12">
        <f>K9+K8</f>
        <v>0</v>
      </c>
      <c r="M10" s="12">
        <f>M9+M8</f>
        <v>0</v>
      </c>
      <c r="N10" s="130"/>
      <c r="O10" s="130"/>
      <c r="P10" s="21"/>
      <c r="Q10" s="4" t="s">
        <v>58</v>
      </c>
      <c r="S10" s="197">
        <v>0</v>
      </c>
    </row>
    <row r="11" spans="1:21" ht="15" thickBot="1" x14ac:dyDescent="0.4">
      <c r="A11" s="15" t="s">
        <v>59</v>
      </c>
      <c r="C11" s="8"/>
      <c r="D11" s="8"/>
      <c r="E11" s="11"/>
      <c r="F11" s="11"/>
      <c r="G11" s="8"/>
      <c r="H11" s="20"/>
      <c r="I11" s="15" t="s">
        <v>60</v>
      </c>
      <c r="K11" s="130"/>
      <c r="M11" s="130"/>
      <c r="N11" s="130"/>
      <c r="O11" s="130"/>
      <c r="P11" s="20"/>
      <c r="Q11" s="3" t="s">
        <v>61</v>
      </c>
      <c r="S11" s="12">
        <f>S9+S10</f>
        <v>0</v>
      </c>
    </row>
    <row r="12" spans="1:21" x14ac:dyDescent="0.35">
      <c r="A12" s="4" t="s">
        <v>62</v>
      </c>
      <c r="C12" s="195">
        <v>-4500</v>
      </c>
      <c r="D12" s="8"/>
      <c r="E12" s="11"/>
      <c r="F12" s="11"/>
      <c r="G12" s="8"/>
      <c r="H12" s="20"/>
      <c r="I12" s="4" t="s">
        <v>63</v>
      </c>
      <c r="K12" s="195">
        <v>0</v>
      </c>
      <c r="M12" s="130"/>
      <c r="N12" s="130"/>
      <c r="O12" s="130"/>
      <c r="P12" s="20"/>
      <c r="Q12" s="3" t="s">
        <v>64</v>
      </c>
      <c r="S12" s="12">
        <f>S8+S11</f>
        <v>0</v>
      </c>
    </row>
    <row r="13" spans="1:21" x14ac:dyDescent="0.35">
      <c r="A13" s="4" t="s">
        <v>65</v>
      </c>
      <c r="C13" s="196">
        <v>-1750</v>
      </c>
      <c r="D13" s="8"/>
      <c r="E13" s="11"/>
      <c r="F13" s="11"/>
      <c r="G13" s="8"/>
      <c r="H13" s="20"/>
      <c r="I13" s="4" t="s">
        <v>65</v>
      </c>
      <c r="K13" s="196">
        <v>0</v>
      </c>
      <c r="M13" s="130"/>
      <c r="N13" s="130"/>
      <c r="O13" s="130"/>
      <c r="P13" s="20"/>
      <c r="Q13" s="1" t="s">
        <v>66</v>
      </c>
      <c r="S13" s="12">
        <f>S5</f>
        <v>0</v>
      </c>
      <c r="T13" s="12">
        <f>T5</f>
        <v>0</v>
      </c>
      <c r="U13" s="12">
        <f>U5</f>
        <v>0</v>
      </c>
    </row>
    <row r="14" spans="1:21" x14ac:dyDescent="0.35">
      <c r="A14" s="4" t="s">
        <v>67</v>
      </c>
      <c r="C14" s="196">
        <v>0</v>
      </c>
      <c r="D14" s="8"/>
      <c r="E14" s="11"/>
      <c r="F14" s="11"/>
      <c r="G14" s="8"/>
      <c r="H14" s="22"/>
      <c r="I14" s="4" t="s">
        <v>68</v>
      </c>
      <c r="K14" s="196">
        <v>0</v>
      </c>
      <c r="M14" s="130"/>
      <c r="N14" s="130"/>
      <c r="O14" s="130"/>
      <c r="P14" s="22"/>
      <c r="Q14" s="1" t="s">
        <v>69</v>
      </c>
      <c r="S14" s="14">
        <f>S9+S5</f>
        <v>0</v>
      </c>
      <c r="T14" s="14">
        <f>T9+T5</f>
        <v>0</v>
      </c>
      <c r="U14" s="14">
        <f>U9+U5</f>
        <v>0</v>
      </c>
    </row>
    <row r="15" spans="1:21" ht="15" thickBot="1" x14ac:dyDescent="0.4">
      <c r="A15" s="4" t="s">
        <v>70</v>
      </c>
      <c r="C15" s="160">
        <v>0</v>
      </c>
      <c r="D15" s="8"/>
      <c r="E15" s="11"/>
      <c r="F15" s="11"/>
      <c r="G15" s="8"/>
      <c r="H15" s="22"/>
      <c r="I15" s="4" t="s">
        <v>70</v>
      </c>
      <c r="K15" s="160">
        <v>0</v>
      </c>
      <c r="M15" s="130"/>
      <c r="N15" s="130"/>
      <c r="O15" s="130"/>
      <c r="P15" s="22"/>
      <c r="Q15" s="1"/>
    </row>
    <row r="16" spans="1:21" x14ac:dyDescent="0.35">
      <c r="A16" s="25" t="s">
        <v>71</v>
      </c>
      <c r="C16" s="14">
        <f>C12+C13+C14</f>
        <v>-6250</v>
      </c>
      <c r="D16" s="8"/>
      <c r="E16" s="11"/>
      <c r="F16" s="11"/>
      <c r="G16" s="8"/>
      <c r="H16" s="20"/>
      <c r="I16" s="25" t="s">
        <v>72</v>
      </c>
      <c r="K16" s="14">
        <f>K12+K13+K14</f>
        <v>0</v>
      </c>
      <c r="M16" s="130"/>
      <c r="N16" s="130"/>
      <c r="O16" s="130"/>
      <c r="P16" s="20"/>
      <c r="Q16" s="56" t="s">
        <v>73</v>
      </c>
      <c r="T16" s="23"/>
      <c r="U16" s="8"/>
    </row>
    <row r="17" spans="1:23" x14ac:dyDescent="0.35">
      <c r="A17" s="3" t="s">
        <v>74</v>
      </c>
      <c r="C17" s="12">
        <f>C9+C16</f>
        <v>5750</v>
      </c>
      <c r="D17" s="108"/>
      <c r="E17" s="108"/>
      <c r="F17" s="108"/>
      <c r="G17" s="130"/>
      <c r="H17" s="20"/>
      <c r="I17" s="3" t="s">
        <v>74</v>
      </c>
      <c r="K17" s="12">
        <f>K9+K16</f>
        <v>0</v>
      </c>
      <c r="M17" s="130"/>
      <c r="N17" s="130"/>
      <c r="O17" s="130"/>
      <c r="P17" s="20"/>
      <c r="R17" s="8" t="s">
        <v>75</v>
      </c>
      <c r="S17" s="16" t="s">
        <v>35</v>
      </c>
      <c r="T17" s="6" t="s">
        <v>36</v>
      </c>
      <c r="W17" s="6" t="s">
        <v>39</v>
      </c>
    </row>
    <row r="18" spans="1:23" x14ac:dyDescent="0.35">
      <c r="A18" s="3" t="s">
        <v>76</v>
      </c>
      <c r="C18" s="12">
        <f>C8+C15</f>
        <v>0</v>
      </c>
      <c r="D18" s="108"/>
      <c r="E18" s="108"/>
      <c r="F18" s="108"/>
      <c r="G18" s="108"/>
      <c r="H18" s="20"/>
      <c r="I18" s="3" t="s">
        <v>76</v>
      </c>
      <c r="K18" s="12">
        <f>K8+K15</f>
        <v>0</v>
      </c>
      <c r="M18" s="130"/>
      <c r="N18" s="130"/>
      <c r="O18" s="130"/>
      <c r="P18" s="20"/>
      <c r="Q18" s="4" t="s">
        <v>77</v>
      </c>
      <c r="S18" s="41">
        <f>IFERROR(T18+W18,0)</f>
        <v>6000</v>
      </c>
      <c r="T18" s="59">
        <f>IFERROR(S25*D24,0)</f>
        <v>4500</v>
      </c>
      <c r="W18" s="59">
        <f>IFERROR(S25*G24,0)</f>
        <v>1500</v>
      </c>
    </row>
    <row r="19" spans="1:23" x14ac:dyDescent="0.35">
      <c r="A19" s="2" t="s">
        <v>78</v>
      </c>
      <c r="C19" s="12">
        <f>C17+C18</f>
        <v>5750</v>
      </c>
      <c r="D19" s="108"/>
      <c r="E19" s="108"/>
      <c r="F19" s="108"/>
      <c r="G19" s="108"/>
      <c r="H19" s="20"/>
      <c r="I19" s="2" t="s">
        <v>79</v>
      </c>
      <c r="K19" s="12">
        <f>K17+K18</f>
        <v>0</v>
      </c>
      <c r="M19" s="130"/>
      <c r="N19" s="130"/>
      <c r="O19" s="130"/>
      <c r="P19" s="20"/>
      <c r="Q19" s="4" t="s">
        <v>80</v>
      </c>
      <c r="R19" s="43">
        <f>100%-J25</f>
        <v>0.5</v>
      </c>
      <c r="S19" s="9">
        <f>R19*C26</f>
        <v>2250</v>
      </c>
      <c r="T19" s="41">
        <f>R19*D26</f>
        <v>1687.5</v>
      </c>
      <c r="W19" s="41">
        <f>R19*G26</f>
        <v>562.5</v>
      </c>
    </row>
    <row r="20" spans="1:23" x14ac:dyDescent="0.35">
      <c r="A20" s="239"/>
      <c r="B20" s="239"/>
      <c r="C20" s="239"/>
      <c r="D20" s="239"/>
      <c r="E20" s="239"/>
      <c r="F20" s="239"/>
      <c r="G20" s="239"/>
      <c r="H20" s="20"/>
      <c r="I20" s="245"/>
      <c r="J20" s="245"/>
      <c r="K20" s="245"/>
      <c r="L20" s="245"/>
      <c r="M20" s="245"/>
      <c r="N20" s="245"/>
      <c r="O20" s="245"/>
      <c r="P20" s="20"/>
      <c r="Q20" s="4" t="s">
        <v>81</v>
      </c>
      <c r="R20" s="43">
        <f>100%-J26</f>
        <v>0.5</v>
      </c>
      <c r="S20" s="9">
        <f>R20*C27</f>
        <v>625</v>
      </c>
      <c r="T20" s="39">
        <f>R20*D27</f>
        <v>468.75</v>
      </c>
      <c r="W20" s="39">
        <f>R20*G27</f>
        <v>156.25</v>
      </c>
    </row>
    <row r="21" spans="1:23" x14ac:dyDescent="0.35">
      <c r="A21" s="186" t="s">
        <v>82</v>
      </c>
      <c r="B21" s="130"/>
      <c r="C21" s="239"/>
      <c r="D21" s="103"/>
      <c r="E21" s="239"/>
      <c r="F21" s="239"/>
      <c r="G21" s="239"/>
      <c r="I21" s="239"/>
      <c r="J21" s="239"/>
      <c r="K21" s="239"/>
      <c r="L21" s="239"/>
      <c r="M21" s="239"/>
      <c r="N21" s="239"/>
      <c r="O21" s="239"/>
      <c r="Q21" s="4" t="s">
        <v>83</v>
      </c>
      <c r="R21" s="43">
        <f>100%-J27</f>
        <v>0.5</v>
      </c>
      <c r="S21" s="9">
        <f>R21*C28</f>
        <v>0</v>
      </c>
      <c r="T21" s="41">
        <f>R21*D28</f>
        <v>0</v>
      </c>
      <c r="W21" s="41">
        <f>R21*G28</f>
        <v>0</v>
      </c>
    </row>
    <row r="22" spans="1:23" x14ac:dyDescent="0.35">
      <c r="A22" s="239"/>
      <c r="B22" s="239"/>
      <c r="C22" s="239"/>
      <c r="D22" s="239"/>
      <c r="E22" s="239"/>
      <c r="F22" s="239"/>
      <c r="G22" s="239"/>
      <c r="I22" s="56" t="s">
        <v>73</v>
      </c>
      <c r="J22" s="239"/>
      <c r="K22" s="239"/>
      <c r="L22" s="239"/>
      <c r="M22" s="239"/>
      <c r="N22" s="239"/>
      <c r="O22" s="239"/>
      <c r="Q22" s="4" t="s">
        <v>61</v>
      </c>
      <c r="R22" s="43">
        <f>100%-J28</f>
        <v>0.5</v>
      </c>
      <c r="S22" s="9">
        <f>R22*C29</f>
        <v>0</v>
      </c>
      <c r="T22" s="41">
        <f>R22*D29</f>
        <v>0</v>
      </c>
      <c r="W22" s="41">
        <f>R22*G29</f>
        <v>0</v>
      </c>
    </row>
    <row r="23" spans="1:23" x14ac:dyDescent="0.35">
      <c r="A23" s="130"/>
      <c r="B23" s="130"/>
      <c r="C23" s="130"/>
      <c r="D23" s="112" t="s">
        <v>36</v>
      </c>
      <c r="E23" s="112" t="s">
        <v>37</v>
      </c>
      <c r="F23" s="112" t="s">
        <v>38</v>
      </c>
      <c r="G23" s="112" t="s">
        <v>39</v>
      </c>
      <c r="J23" s="130" t="s">
        <v>75</v>
      </c>
      <c r="K23" s="182" t="s">
        <v>35</v>
      </c>
      <c r="L23" s="112" t="s">
        <v>36</v>
      </c>
      <c r="M23" s="112" t="s">
        <v>37</v>
      </c>
      <c r="N23" s="112" t="s">
        <v>38</v>
      </c>
      <c r="O23" s="112" t="s">
        <v>39</v>
      </c>
      <c r="Q23" s="2" t="s">
        <v>84</v>
      </c>
      <c r="S23" s="12">
        <f>SUM(S19:S22)</f>
        <v>2875</v>
      </c>
      <c r="T23" s="12">
        <f t="shared" ref="T23" si="1">SUM(T19:T22)</f>
        <v>2156.25</v>
      </c>
      <c r="W23" s="12">
        <f>SUM(W19:W22)</f>
        <v>718.75</v>
      </c>
    </row>
    <row r="24" spans="1:23" ht="15" customHeight="1" thickBot="1" x14ac:dyDescent="0.4">
      <c r="A24" s="130" t="s">
        <v>85</v>
      </c>
      <c r="B24" s="130"/>
      <c r="C24" s="61">
        <f>C10</f>
        <v>12000</v>
      </c>
      <c r="D24" s="61">
        <f>D10</f>
        <v>9000</v>
      </c>
      <c r="E24" s="130"/>
      <c r="F24" s="130"/>
      <c r="G24" s="61">
        <f>G10</f>
        <v>3000</v>
      </c>
      <c r="I24" s="4" t="s">
        <v>77</v>
      </c>
      <c r="J24" s="184"/>
      <c r="K24" s="12">
        <f>L24+O24</f>
        <v>6000</v>
      </c>
      <c r="L24" s="115">
        <f>K31*D24</f>
        <v>4500</v>
      </c>
      <c r="O24" s="59">
        <f>K31*G24</f>
        <v>1500</v>
      </c>
      <c r="Q24" s="49" t="s">
        <v>20</v>
      </c>
      <c r="S24" s="32">
        <f>(ABS(S22)+ABS(S19)+ABS(S20)+ABS(S21))</f>
        <v>2875</v>
      </c>
    </row>
    <row r="25" spans="1:23" ht="15" customHeight="1" x14ac:dyDescent="0.35">
      <c r="A25" s="130" t="s">
        <v>86</v>
      </c>
      <c r="B25" s="130"/>
      <c r="C25" s="108"/>
      <c r="D25" s="187">
        <f>IFERROR(D24/C24,0)</f>
        <v>0.75</v>
      </c>
      <c r="E25" s="130"/>
      <c r="F25" s="130"/>
      <c r="G25" s="187">
        <f>IFERROR(G24/C24,0)</f>
        <v>0.25</v>
      </c>
      <c r="I25" s="4" t="s">
        <v>80</v>
      </c>
      <c r="J25" s="190">
        <v>0.5</v>
      </c>
      <c r="K25" s="12">
        <f>J25*C26</f>
        <v>2250</v>
      </c>
      <c r="L25" s="41">
        <f>J25*D26</f>
        <v>1687.5</v>
      </c>
      <c r="O25" s="41">
        <f>J25*G26</f>
        <v>562.5</v>
      </c>
      <c r="Q25" s="50" t="s">
        <v>87</v>
      </c>
      <c r="S25" s="34">
        <f>IFERROR(S24/C31,0)</f>
        <v>0.5</v>
      </c>
    </row>
    <row r="26" spans="1:23" ht="15" customHeight="1" x14ac:dyDescent="0.35">
      <c r="A26" s="130" t="s">
        <v>88</v>
      </c>
      <c r="B26" s="130"/>
      <c r="C26" s="12">
        <f>C5+C12</f>
        <v>4500</v>
      </c>
      <c r="D26" s="41">
        <f>D25*C26</f>
        <v>3375</v>
      </c>
      <c r="E26" s="130"/>
      <c r="F26" s="130"/>
      <c r="G26" s="41">
        <f>G25*C26</f>
        <v>1125</v>
      </c>
      <c r="I26" s="4" t="s">
        <v>81</v>
      </c>
      <c r="J26" s="191">
        <v>0.5</v>
      </c>
      <c r="K26" s="12">
        <f>J26*C27</f>
        <v>625</v>
      </c>
      <c r="L26" s="61">
        <f>J26*D27</f>
        <v>468.75</v>
      </c>
      <c r="O26" s="61">
        <f>J26*G27</f>
        <v>156.25</v>
      </c>
      <c r="Q26" s="8"/>
      <c r="S26" s="8"/>
      <c r="T26" s="8"/>
      <c r="U26" s="8"/>
    </row>
    <row r="27" spans="1:23" ht="15" customHeight="1" x14ac:dyDescent="0.35">
      <c r="A27" s="130" t="s">
        <v>89</v>
      </c>
      <c r="B27" s="130"/>
      <c r="C27" s="12">
        <f>C6+C13</f>
        <v>1250</v>
      </c>
      <c r="D27" s="41">
        <f>D25*C27</f>
        <v>937.5</v>
      </c>
      <c r="E27" s="130"/>
      <c r="F27" s="130"/>
      <c r="G27" s="41">
        <f>G25*C27</f>
        <v>312.5</v>
      </c>
      <c r="I27" s="4" t="s">
        <v>83</v>
      </c>
      <c r="J27" s="191">
        <v>0.5</v>
      </c>
      <c r="K27" s="12">
        <f>J27*C28</f>
        <v>0</v>
      </c>
      <c r="L27" s="41">
        <f>J27*D28</f>
        <v>0</v>
      </c>
      <c r="O27" s="41">
        <f>J27*G28</f>
        <v>0</v>
      </c>
      <c r="Q27" s="55" t="s">
        <v>90</v>
      </c>
      <c r="R27" s="239"/>
      <c r="S27" s="239"/>
      <c r="T27" s="239"/>
      <c r="U27" s="239"/>
    </row>
    <row r="28" spans="1:23" ht="15" customHeight="1" thickBot="1" x14ac:dyDescent="0.4">
      <c r="A28" s="130" t="s">
        <v>91</v>
      </c>
      <c r="B28" s="130"/>
      <c r="C28" s="14">
        <f>C4+C14</f>
        <v>0</v>
      </c>
      <c r="D28" s="41">
        <f>D25*C28</f>
        <v>0</v>
      </c>
      <c r="E28" s="130"/>
      <c r="F28" s="130"/>
      <c r="G28" s="41">
        <f>G25*C28</f>
        <v>0</v>
      </c>
      <c r="I28" s="4" t="s">
        <v>61</v>
      </c>
      <c r="J28" s="192">
        <v>0.5</v>
      </c>
      <c r="K28" s="12">
        <f>J28*C29</f>
        <v>0</v>
      </c>
      <c r="L28" s="41">
        <f>J28*D29</f>
        <v>0</v>
      </c>
      <c r="O28" s="41">
        <f>J28*G29</f>
        <v>0</v>
      </c>
      <c r="R28" s="8" t="s">
        <v>75</v>
      </c>
      <c r="S28" s="16" t="s">
        <v>35</v>
      </c>
      <c r="T28" s="6" t="s">
        <v>36</v>
      </c>
      <c r="U28" s="6" t="s">
        <v>37</v>
      </c>
      <c r="V28" s="6" t="s">
        <v>38</v>
      </c>
      <c r="W28" s="6" t="s">
        <v>39</v>
      </c>
    </row>
    <row r="29" spans="1:23" ht="15" customHeight="1" thickBot="1" x14ac:dyDescent="0.4">
      <c r="A29" s="130" t="s">
        <v>92</v>
      </c>
      <c r="B29" s="130"/>
      <c r="C29" s="12">
        <f>C8+C15</f>
        <v>0</v>
      </c>
      <c r="D29" s="41">
        <f>D25*C29</f>
        <v>0</v>
      </c>
      <c r="E29" s="130"/>
      <c r="F29" s="130"/>
      <c r="G29" s="41">
        <f>G25*C29</f>
        <v>0</v>
      </c>
      <c r="H29" s="20"/>
      <c r="I29" s="2" t="s">
        <v>84</v>
      </c>
      <c r="K29" s="12">
        <f>SUM(K25:K28)</f>
        <v>2875</v>
      </c>
      <c r="L29" s="12">
        <f t="shared" ref="L29:O29" si="2">SUM(L25:L28)</f>
        <v>2156.25</v>
      </c>
      <c r="O29" s="12">
        <f t="shared" si="2"/>
        <v>718.75</v>
      </c>
      <c r="Q29" s="4" t="s">
        <v>77</v>
      </c>
      <c r="R29" s="31"/>
      <c r="S29" s="9">
        <f>T29+U29+V29+W29</f>
        <v>3750</v>
      </c>
      <c r="T29" s="59">
        <f>S36*L46</f>
        <v>2250</v>
      </c>
      <c r="U29" s="59">
        <f>S36*M46</f>
        <v>0</v>
      </c>
      <c r="V29" s="59">
        <f>S36*N46</f>
        <v>750</v>
      </c>
      <c r="W29" s="59">
        <f>S36*O46</f>
        <v>750</v>
      </c>
    </row>
    <row r="30" spans="1:23" ht="15" customHeight="1" x14ac:dyDescent="0.35">
      <c r="A30" s="188" t="s">
        <v>93</v>
      </c>
      <c r="B30" s="130"/>
      <c r="C30" s="12">
        <f>C26+C27+C28+C29</f>
        <v>5750</v>
      </c>
      <c r="D30" s="12">
        <f t="shared" ref="D30:G30" si="3">D26+D27+D28+D29</f>
        <v>4312.5</v>
      </c>
      <c r="E30" s="130"/>
      <c r="F30" s="130"/>
      <c r="G30" s="12">
        <f t="shared" si="3"/>
        <v>1437.5</v>
      </c>
      <c r="H30" s="20"/>
      <c r="I30" s="49" t="s">
        <v>20</v>
      </c>
      <c r="K30" s="32">
        <f>(ABS(K28)+ABS(K25)+ABS(K26)+ABS(K27))</f>
        <v>2875</v>
      </c>
      <c r="O30"/>
      <c r="Q30" s="4" t="s">
        <v>80</v>
      </c>
      <c r="R30" s="190">
        <v>0.5</v>
      </c>
      <c r="S30" s="9">
        <f>R30*K48</f>
        <v>1500</v>
      </c>
      <c r="T30" s="41">
        <f>R30*L48</f>
        <v>900</v>
      </c>
      <c r="U30" s="41">
        <f>R30*M48</f>
        <v>0</v>
      </c>
      <c r="V30" s="41">
        <f>R30*N48</f>
        <v>300</v>
      </c>
      <c r="W30" s="41">
        <f>R30*O48</f>
        <v>300</v>
      </c>
    </row>
    <row r="31" spans="1:23" ht="15" customHeight="1" x14ac:dyDescent="0.35">
      <c r="A31" s="189" t="s">
        <v>24</v>
      </c>
      <c r="B31" s="130"/>
      <c r="C31" s="32">
        <f>K30+S24</f>
        <v>5750</v>
      </c>
      <c r="D31" s="130"/>
      <c r="E31" s="130"/>
      <c r="F31" s="130"/>
      <c r="G31" s="130"/>
      <c r="H31" s="20"/>
      <c r="I31" s="50" t="s">
        <v>87</v>
      </c>
      <c r="K31" s="185">
        <f>IFERROR(K30/C31,0)</f>
        <v>0.5</v>
      </c>
      <c r="O31"/>
      <c r="P31" s="20"/>
      <c r="Q31" s="4" t="s">
        <v>81</v>
      </c>
      <c r="R31" s="191">
        <v>0.5</v>
      </c>
      <c r="S31" s="9">
        <f>R31*K49</f>
        <v>312.5</v>
      </c>
      <c r="T31" s="39">
        <f>R31*L49</f>
        <v>187.5</v>
      </c>
      <c r="U31" s="39">
        <f>R31*M49</f>
        <v>0</v>
      </c>
      <c r="V31" s="41">
        <f t="shared" ref="V31:V33" si="4">R31*N49</f>
        <v>62.5</v>
      </c>
      <c r="W31" s="41">
        <f>R31*O49</f>
        <v>62.5</v>
      </c>
    </row>
    <row r="32" spans="1:23" x14ac:dyDescent="0.35">
      <c r="A32" s="188"/>
      <c r="C32" s="130"/>
      <c r="D32" s="130"/>
      <c r="E32" s="130"/>
      <c r="F32" s="130"/>
      <c r="G32" s="130"/>
      <c r="H32" s="20"/>
      <c r="O32"/>
      <c r="P32" s="20"/>
      <c r="Q32" s="4" t="s">
        <v>83</v>
      </c>
      <c r="R32" s="191">
        <v>0.5</v>
      </c>
      <c r="S32" s="9">
        <f>R32*K50</f>
        <v>0</v>
      </c>
      <c r="T32" s="41">
        <f>R32*L50</f>
        <v>0</v>
      </c>
      <c r="U32" s="41">
        <f>R32*M50</f>
        <v>0</v>
      </c>
      <c r="V32" s="41">
        <f t="shared" si="4"/>
        <v>0</v>
      </c>
      <c r="W32" s="41">
        <f>R32*O50</f>
        <v>0</v>
      </c>
    </row>
    <row r="33" spans="1:25" ht="15" customHeight="1" thickBot="1" x14ac:dyDescent="0.4">
      <c r="B33" s="239"/>
      <c r="G33" s="8"/>
      <c r="H33" s="20"/>
      <c r="I33" s="56" t="s">
        <v>94</v>
      </c>
      <c r="J33" s="239"/>
      <c r="K33" s="239"/>
      <c r="L33" s="239"/>
      <c r="M33" s="239"/>
      <c r="N33" s="239"/>
      <c r="O33" s="239"/>
      <c r="P33" s="20"/>
      <c r="Q33" s="4" t="s">
        <v>61</v>
      </c>
      <c r="R33" s="192">
        <v>0.5</v>
      </c>
      <c r="S33" s="9">
        <f>R33*K51</f>
        <v>0</v>
      </c>
      <c r="T33" s="41">
        <f>R33*L51</f>
        <v>0</v>
      </c>
      <c r="U33" s="41">
        <f>R33*M51</f>
        <v>0</v>
      </c>
      <c r="V33" s="41">
        <f t="shared" si="4"/>
        <v>0</v>
      </c>
      <c r="W33" s="41">
        <f>R33*O51</f>
        <v>0</v>
      </c>
    </row>
    <row r="34" spans="1:25" x14ac:dyDescent="0.35">
      <c r="A34" s="18"/>
      <c r="B34" s="51"/>
      <c r="C34" s="51"/>
      <c r="D34" s="51"/>
      <c r="E34" s="51"/>
      <c r="F34" s="51"/>
      <c r="G34" s="51"/>
      <c r="H34" s="20"/>
      <c r="J34" s="8" t="s">
        <v>75</v>
      </c>
      <c r="K34" s="16" t="s">
        <v>35</v>
      </c>
      <c r="L34" s="6" t="s">
        <v>36</v>
      </c>
      <c r="M34" s="6" t="s">
        <v>37</v>
      </c>
      <c r="N34" s="6" t="s">
        <v>38</v>
      </c>
      <c r="O34" s="6" t="s">
        <v>39</v>
      </c>
      <c r="P34" s="20"/>
      <c r="Q34" s="2" t="s">
        <v>95</v>
      </c>
      <c r="S34" s="12">
        <f>SUM(S30:S33)</f>
        <v>1812.5</v>
      </c>
      <c r="T34" s="12">
        <f t="shared" ref="T34:W34" si="5">SUM(T30:T33)</f>
        <v>1087.5</v>
      </c>
      <c r="U34" s="12">
        <f t="shared" si="5"/>
        <v>0</v>
      </c>
      <c r="V34" s="12">
        <f>SUM(V30:V33)</f>
        <v>362.5</v>
      </c>
      <c r="W34" s="12">
        <f t="shared" si="5"/>
        <v>362.5</v>
      </c>
    </row>
    <row r="35" spans="1:25" ht="15.75" customHeight="1" thickBot="1" x14ac:dyDescent="0.4">
      <c r="A35" s="29"/>
      <c r="B35" s="28"/>
      <c r="C35" s="239"/>
      <c r="D35" s="239"/>
      <c r="E35" s="239"/>
      <c r="F35" s="239"/>
      <c r="G35" s="8"/>
      <c r="H35" s="20"/>
      <c r="I35" s="4" t="s">
        <v>77</v>
      </c>
      <c r="J35" s="31"/>
      <c r="K35" s="9">
        <f>N35+O35</f>
        <v>1500</v>
      </c>
      <c r="M35" s="13"/>
      <c r="N35" s="59">
        <f>K42*F59</f>
        <v>1500</v>
      </c>
      <c r="O35" s="8"/>
      <c r="P35" s="20"/>
      <c r="Q35" s="49" t="s">
        <v>20</v>
      </c>
      <c r="S35" s="32">
        <f>(ABS(S33)+ABS(S30)+ABS(S31)+ABS(S32))</f>
        <v>1812.5</v>
      </c>
    </row>
    <row r="36" spans="1:25" x14ac:dyDescent="0.35">
      <c r="A36" s="52" t="s">
        <v>96</v>
      </c>
      <c r="C36" s="6" t="s">
        <v>35</v>
      </c>
      <c r="D36" s="6" t="s">
        <v>36</v>
      </c>
      <c r="E36" s="6" t="s">
        <v>37</v>
      </c>
      <c r="F36" s="6" t="s">
        <v>38</v>
      </c>
      <c r="G36" s="6" t="s">
        <v>39</v>
      </c>
      <c r="H36" s="20"/>
      <c r="I36" s="4" t="s">
        <v>80</v>
      </c>
      <c r="J36" s="190">
        <v>0.5</v>
      </c>
      <c r="K36" s="9">
        <f>J36*C61</f>
        <v>750</v>
      </c>
      <c r="M36" s="13"/>
      <c r="N36" s="41">
        <f>J36*F61</f>
        <v>750</v>
      </c>
      <c r="O36" s="8"/>
      <c r="P36" s="20"/>
      <c r="Q36" s="50" t="s">
        <v>87</v>
      </c>
      <c r="S36" s="34">
        <f>IFERROR(S35/K53,0)</f>
        <v>0.5</v>
      </c>
    </row>
    <row r="37" spans="1:25" ht="15" customHeight="1" thickBot="1" x14ac:dyDescent="0.4">
      <c r="A37" s="15" t="s">
        <v>43</v>
      </c>
      <c r="C37" s="8"/>
      <c r="E37" s="8"/>
      <c r="F37" s="8"/>
      <c r="G37" s="11"/>
      <c r="H37" s="20"/>
      <c r="I37" s="4" t="s">
        <v>81</v>
      </c>
      <c r="J37" s="191">
        <v>0.5</v>
      </c>
      <c r="K37" s="9">
        <f>J37*C62</f>
        <v>0</v>
      </c>
      <c r="M37" s="13"/>
      <c r="N37" s="39">
        <f>J37*F62</f>
        <v>0</v>
      </c>
      <c r="O37" s="8"/>
      <c r="P37" s="20"/>
      <c r="Q37" s="8"/>
      <c r="R37" s="8"/>
      <c r="S37" s="8"/>
      <c r="T37" s="8"/>
      <c r="U37" s="8"/>
    </row>
    <row r="38" spans="1:25" ht="15" customHeight="1" x14ac:dyDescent="0.35">
      <c r="A38" s="4" t="s">
        <v>45</v>
      </c>
      <c r="C38" s="39">
        <f>F38</f>
        <v>3000</v>
      </c>
      <c r="E38" s="11"/>
      <c r="F38" s="117">
        <v>3000</v>
      </c>
      <c r="G38" s="11"/>
      <c r="H38" s="20"/>
      <c r="I38" s="4" t="s">
        <v>83</v>
      </c>
      <c r="J38" s="191">
        <v>0.5</v>
      </c>
      <c r="K38" s="9">
        <f>J38*C63</f>
        <v>0</v>
      </c>
      <c r="M38" s="13"/>
      <c r="N38" s="41">
        <f>J38*F63</f>
        <v>0</v>
      </c>
      <c r="O38" s="8"/>
      <c r="P38" s="20"/>
      <c r="Q38" s="47" t="s">
        <v>97</v>
      </c>
    </row>
    <row r="39" spans="1:25" ht="15" customHeight="1" thickBot="1" x14ac:dyDescent="0.4">
      <c r="A39" s="4" t="s">
        <v>48</v>
      </c>
      <c r="C39" s="39">
        <f>F39</f>
        <v>0</v>
      </c>
      <c r="E39" s="11"/>
      <c r="F39" s="118">
        <v>0</v>
      </c>
      <c r="G39" s="11"/>
      <c r="H39" s="20"/>
      <c r="I39" s="4" t="s">
        <v>61</v>
      </c>
      <c r="J39" s="192">
        <v>0.5</v>
      </c>
      <c r="K39" s="9">
        <f>J39*C64</f>
        <v>0</v>
      </c>
      <c r="M39" s="13"/>
      <c r="N39" s="41">
        <f>J39*F64</f>
        <v>0</v>
      </c>
      <c r="O39" s="8"/>
      <c r="P39" s="20"/>
      <c r="S39" s="182" t="s">
        <v>35</v>
      </c>
      <c r="T39" s="6" t="s">
        <v>36</v>
      </c>
      <c r="U39" s="6" t="s">
        <v>37</v>
      </c>
      <c r="V39" s="6" t="s">
        <v>38</v>
      </c>
      <c r="W39" s="6" t="s">
        <v>39</v>
      </c>
    </row>
    <row r="40" spans="1:25" ht="15" customHeight="1" x14ac:dyDescent="0.35">
      <c r="A40" s="4" t="s">
        <v>51</v>
      </c>
      <c r="C40" s="39">
        <f>F40</f>
        <v>0</v>
      </c>
      <c r="E40" s="11"/>
      <c r="F40" s="118">
        <v>0</v>
      </c>
      <c r="G40" s="11"/>
      <c r="H40" s="20"/>
      <c r="I40" s="2" t="s">
        <v>84</v>
      </c>
      <c r="K40" s="12">
        <f>SUM(K36:K39)</f>
        <v>750</v>
      </c>
      <c r="M40" s="13"/>
      <c r="N40" s="12">
        <f>SUM(N36:N39)</f>
        <v>750</v>
      </c>
      <c r="O40" s="130"/>
      <c r="P40" s="20"/>
      <c r="Q40" s="27" t="s">
        <v>98</v>
      </c>
      <c r="R40" s="8"/>
      <c r="S40" s="12">
        <f>T40+U40+V40+W40</f>
        <v>9750</v>
      </c>
      <c r="T40" s="45">
        <f>T29+T18+T5</f>
        <v>6750</v>
      </c>
      <c r="U40" s="45">
        <f>U29+U18+U5</f>
        <v>0</v>
      </c>
      <c r="V40" s="66">
        <f>V29+V18+V5</f>
        <v>750</v>
      </c>
      <c r="W40" s="66">
        <f>W29+W18+W5</f>
        <v>2250</v>
      </c>
    </row>
    <row r="41" spans="1:25" ht="15" customHeight="1" thickBot="1" x14ac:dyDescent="0.4">
      <c r="A41" s="4" t="s">
        <v>53</v>
      </c>
      <c r="C41" s="39">
        <f>F41</f>
        <v>0</v>
      </c>
      <c r="E41" s="11"/>
      <c r="F41" s="119">
        <v>0</v>
      </c>
      <c r="G41" s="11"/>
      <c r="H41" s="20"/>
      <c r="I41" s="49" t="s">
        <v>20</v>
      </c>
      <c r="K41" s="32">
        <f>(ABS(K39)+ABS(K36)+ABS(K37)+ABS(K38))</f>
        <v>750</v>
      </c>
      <c r="M41" s="13"/>
      <c r="O41"/>
      <c r="P41" s="20"/>
      <c r="Q41" s="27" t="s">
        <v>86</v>
      </c>
      <c r="R41" s="8"/>
      <c r="S41" s="12"/>
      <c r="T41" s="173">
        <f>IFERROR(T40/S40,0)</f>
        <v>0.69230769230769229</v>
      </c>
      <c r="U41" s="173">
        <f>IFERROR(U40/S40,0)</f>
        <v>0</v>
      </c>
      <c r="V41" s="173">
        <f>IFERROR(V40/S40,0)</f>
        <v>7.6923076923076927E-2</v>
      </c>
      <c r="W41" s="173">
        <f>IFERROR(W40/S40,0)</f>
        <v>0.23076923076923078</v>
      </c>
    </row>
    <row r="42" spans="1:25" x14ac:dyDescent="0.35">
      <c r="A42" s="3" t="s">
        <v>55</v>
      </c>
      <c r="C42" s="12">
        <f>SUM(C38:C40)</f>
        <v>3000</v>
      </c>
      <c r="E42" s="108"/>
      <c r="F42" s="12">
        <f>SUM(F38:F40)</f>
        <v>3000</v>
      </c>
      <c r="G42" s="108"/>
      <c r="I42" s="50" t="s">
        <v>87</v>
      </c>
      <c r="K42" s="34">
        <f>IFERROR(K41/C66,0)</f>
        <v>0.5</v>
      </c>
      <c r="O42"/>
      <c r="P42" s="20"/>
      <c r="Q42" s="27" t="s">
        <v>19</v>
      </c>
      <c r="R42" s="8"/>
      <c r="S42" s="12">
        <f>S34+S23+S12</f>
        <v>4687.5</v>
      </c>
      <c r="T42" s="62">
        <f>T41*S42</f>
        <v>3245.1923076923076</v>
      </c>
      <c r="U42" s="42">
        <f>U41*S42</f>
        <v>0</v>
      </c>
      <c r="V42" s="41">
        <f>V41*S42</f>
        <v>360.57692307692309</v>
      </c>
      <c r="W42" s="41">
        <f>W41*S42</f>
        <v>1081.7307692307693</v>
      </c>
    </row>
    <row r="43" spans="1:25" x14ac:dyDescent="0.35">
      <c r="A43" s="3" t="s">
        <v>57</v>
      </c>
      <c r="C43" s="12">
        <f>C42+C41</f>
        <v>3000</v>
      </c>
      <c r="E43" s="108"/>
      <c r="F43" s="12">
        <f>F42+F41</f>
        <v>3000</v>
      </c>
      <c r="G43" s="108"/>
      <c r="I43" s="4"/>
      <c r="O43"/>
      <c r="P43" s="20"/>
      <c r="Q43" s="27" t="s">
        <v>99</v>
      </c>
      <c r="R43" s="8"/>
      <c r="S43" s="12"/>
      <c r="T43" s="76">
        <v>0.06</v>
      </c>
      <c r="U43" s="77">
        <v>0.05</v>
      </c>
      <c r="V43" s="40">
        <v>0.04</v>
      </c>
      <c r="W43" s="40">
        <v>7.0000000000000007E-2</v>
      </c>
    </row>
    <row r="44" spans="1:25" ht="15" thickBot="1" x14ac:dyDescent="0.4">
      <c r="A44" s="15" t="s">
        <v>100</v>
      </c>
      <c r="C44" s="130"/>
      <c r="E44" s="108"/>
      <c r="F44" s="130"/>
      <c r="G44" s="108"/>
      <c r="I44" s="54" t="s">
        <v>82</v>
      </c>
      <c r="O44"/>
      <c r="Q44" s="8" t="s">
        <v>101</v>
      </c>
      <c r="R44" s="8"/>
      <c r="S44" s="73">
        <f>T44+U44+V44+W44</f>
        <v>284.85576923076923</v>
      </c>
      <c r="T44" s="73">
        <f>T43*T42</f>
        <v>194.71153846153845</v>
      </c>
      <c r="U44" s="73">
        <f>U43*U42</f>
        <v>0</v>
      </c>
      <c r="V44" s="73">
        <f>V43*V42</f>
        <v>14.423076923076923</v>
      </c>
      <c r="W44" s="73">
        <f t="shared" ref="W44" si="6">W43*W42</f>
        <v>75.721153846153854</v>
      </c>
    </row>
    <row r="45" spans="1:25" x14ac:dyDescent="0.35">
      <c r="A45" s="4" t="s">
        <v>62</v>
      </c>
      <c r="C45" s="195">
        <v>-1500</v>
      </c>
      <c r="E45" s="108"/>
      <c r="F45" s="130"/>
      <c r="G45" s="108"/>
      <c r="K45" s="182" t="s">
        <v>35</v>
      </c>
      <c r="L45" s="112" t="s">
        <v>36</v>
      </c>
      <c r="M45" s="112" t="s">
        <v>37</v>
      </c>
      <c r="N45" s="112" t="s">
        <v>38</v>
      </c>
      <c r="O45" s="112" t="s">
        <v>39</v>
      </c>
      <c r="Q45" s="20"/>
      <c r="R45" s="20"/>
      <c r="S45" s="20"/>
      <c r="T45" s="20"/>
      <c r="U45" s="20"/>
      <c r="V45" s="20"/>
      <c r="W45" s="20"/>
    </row>
    <row r="46" spans="1:25" x14ac:dyDescent="0.35">
      <c r="A46" s="4" t="s">
        <v>65</v>
      </c>
      <c r="C46" s="196">
        <v>0</v>
      </c>
      <c r="E46" s="108"/>
      <c r="F46" s="130"/>
      <c r="G46" s="108"/>
      <c r="I46" s="8" t="s">
        <v>102</v>
      </c>
      <c r="J46" s="8"/>
      <c r="K46" s="12">
        <f>K35+K24+K10</f>
        <v>7500</v>
      </c>
      <c r="L46" s="144">
        <f>L24+L10+L35</f>
        <v>4500</v>
      </c>
      <c r="M46" s="144">
        <f>M24+M10+M35</f>
        <v>0</v>
      </c>
      <c r="N46" s="144">
        <f>N24+N10+N35</f>
        <v>1500</v>
      </c>
      <c r="O46" s="144">
        <f>O24+O10+O35</f>
        <v>1500</v>
      </c>
      <c r="Q46" s="8"/>
      <c r="R46" s="8"/>
      <c r="S46" s="8"/>
      <c r="T46" s="8"/>
      <c r="U46" s="8"/>
    </row>
    <row r="47" spans="1:25" x14ac:dyDescent="0.35">
      <c r="A47" s="4" t="s">
        <v>67</v>
      </c>
      <c r="C47" s="196">
        <v>0</v>
      </c>
      <c r="E47" s="108"/>
      <c r="F47" s="130"/>
      <c r="G47" s="108"/>
      <c r="I47" s="45" t="s">
        <v>103</v>
      </c>
      <c r="J47" s="8"/>
      <c r="K47" s="144"/>
      <c r="L47" s="147">
        <f>IFERROR(L46/K46,0)</f>
        <v>0.6</v>
      </c>
      <c r="M47" s="147">
        <f>IFERROR(M46/K46,0)</f>
        <v>0</v>
      </c>
      <c r="N47" s="147">
        <f>IFERROR(N46/K46,0)</f>
        <v>0.2</v>
      </c>
      <c r="O47" s="147">
        <f>IFERROR(O46/K46,0)</f>
        <v>0.2</v>
      </c>
      <c r="Q47" s="58" t="s">
        <v>104</v>
      </c>
      <c r="S47" s="16" t="s">
        <v>35</v>
      </c>
      <c r="T47" s="6" t="s">
        <v>36</v>
      </c>
      <c r="U47" s="6" t="s">
        <v>37</v>
      </c>
      <c r="V47" s="6" t="s">
        <v>38</v>
      </c>
      <c r="W47" s="6" t="s">
        <v>39</v>
      </c>
    </row>
    <row r="48" spans="1:25" ht="15" thickBot="1" x14ac:dyDescent="0.4">
      <c r="A48" s="4" t="s">
        <v>70</v>
      </c>
      <c r="C48" s="160">
        <v>0</v>
      </c>
      <c r="E48" s="108"/>
      <c r="F48" s="130"/>
      <c r="G48" s="108"/>
      <c r="I48" s="8" t="s">
        <v>105</v>
      </c>
      <c r="J48" s="8"/>
      <c r="K48" s="12">
        <f>K5+K7+K12+K25+K36</f>
        <v>3000</v>
      </c>
      <c r="L48" s="62">
        <f>L47*K48</f>
        <v>1800</v>
      </c>
      <c r="M48" s="62">
        <f>M47*K48</f>
        <v>0</v>
      </c>
      <c r="N48" s="62">
        <f>N47*K48</f>
        <v>600</v>
      </c>
      <c r="O48" s="62">
        <f>O47*K48</f>
        <v>600</v>
      </c>
      <c r="Q48" t="s">
        <v>106</v>
      </c>
      <c r="Y48" s="13"/>
    </row>
    <row r="49" spans="1:24" x14ac:dyDescent="0.35">
      <c r="A49" s="25" t="s">
        <v>71</v>
      </c>
      <c r="C49" s="14">
        <f>C45+C46+C47</f>
        <v>-1500</v>
      </c>
      <c r="E49" s="108"/>
      <c r="F49" s="130"/>
      <c r="G49" s="108"/>
      <c r="I49" s="8" t="s">
        <v>107</v>
      </c>
      <c r="J49" s="8"/>
      <c r="K49" s="12">
        <f>K26+K6+K13+K37</f>
        <v>625</v>
      </c>
      <c r="L49" s="62">
        <f>L47*K49</f>
        <v>375</v>
      </c>
      <c r="M49" s="62">
        <f>M47*K49</f>
        <v>0</v>
      </c>
      <c r="N49" s="62">
        <f>N47*K49</f>
        <v>125</v>
      </c>
      <c r="O49" s="62">
        <f>O47*K49</f>
        <v>125</v>
      </c>
      <c r="Q49" s="4" t="s">
        <v>47</v>
      </c>
      <c r="S49" s="9">
        <f>T49+U49+V49+W49</f>
        <v>0</v>
      </c>
      <c r="U49" s="117"/>
    </row>
    <row r="50" spans="1:24" x14ac:dyDescent="0.35">
      <c r="A50" s="3" t="s">
        <v>74</v>
      </c>
      <c r="C50" s="12">
        <f>C42+C49</f>
        <v>1500</v>
      </c>
      <c r="D50" s="108"/>
      <c r="E50" s="108"/>
      <c r="F50" s="130"/>
      <c r="G50" s="108"/>
      <c r="I50" s="8" t="s">
        <v>108</v>
      </c>
      <c r="J50" s="8"/>
      <c r="K50" s="14">
        <f>K14+K27+K38</f>
        <v>0</v>
      </c>
      <c r="L50" s="62">
        <f>L47*K50</f>
        <v>0</v>
      </c>
      <c r="M50" s="62">
        <f>M47*K50</f>
        <v>0</v>
      </c>
      <c r="N50" s="62">
        <f>N47*K50</f>
        <v>0</v>
      </c>
      <c r="O50" s="62">
        <f>O47*K50</f>
        <v>0</v>
      </c>
      <c r="Q50" s="4" t="s">
        <v>109</v>
      </c>
      <c r="S50" s="9">
        <f>U50+T50+V50+W50</f>
        <v>0</v>
      </c>
      <c r="U50" s="159"/>
    </row>
    <row r="51" spans="1:24" ht="15" thickBot="1" x14ac:dyDescent="0.4">
      <c r="A51" s="3" t="s">
        <v>76</v>
      </c>
      <c r="C51" s="12">
        <f>C41+C48</f>
        <v>0</v>
      </c>
      <c r="D51" s="108"/>
      <c r="E51" s="108"/>
      <c r="F51" s="108"/>
      <c r="G51" s="108"/>
      <c r="I51" s="8" t="s">
        <v>110</v>
      </c>
      <c r="J51" s="8"/>
      <c r="K51" s="12">
        <f>K18+K28+K39</f>
        <v>0</v>
      </c>
      <c r="L51" s="62">
        <f>L47*K51</f>
        <v>0</v>
      </c>
      <c r="M51" s="62">
        <f>M47*K51</f>
        <v>0</v>
      </c>
      <c r="N51" s="62">
        <f>N47*K51</f>
        <v>0</v>
      </c>
      <c r="O51" s="62">
        <f>O47*K51</f>
        <v>0</v>
      </c>
      <c r="Q51" s="4" t="s">
        <v>111</v>
      </c>
      <c r="S51" s="12">
        <f>U51</f>
        <v>0</v>
      </c>
      <c r="U51" s="160">
        <v>0</v>
      </c>
      <c r="X51" s="94"/>
    </row>
    <row r="52" spans="1:24" ht="15" thickBot="1" x14ac:dyDescent="0.4">
      <c r="A52" s="2" t="s">
        <v>78</v>
      </c>
      <c r="C52" s="12">
        <f>C50+C51</f>
        <v>1500</v>
      </c>
      <c r="D52" s="108"/>
      <c r="E52" s="108"/>
      <c r="F52" s="108"/>
      <c r="G52" s="108"/>
      <c r="I52" s="27" t="s">
        <v>112</v>
      </c>
      <c r="J52" s="8"/>
      <c r="K52" s="12">
        <f>K48+K49+K50+K51</f>
        <v>3625</v>
      </c>
      <c r="L52" s="227">
        <f>L47*K52</f>
        <v>2175</v>
      </c>
      <c r="M52" s="227">
        <f>M47*K52</f>
        <v>0</v>
      </c>
      <c r="N52" s="227">
        <f>N47*K52</f>
        <v>725</v>
      </c>
      <c r="O52" s="227">
        <f>O47*K52</f>
        <v>725</v>
      </c>
      <c r="Q52" s="2" t="s">
        <v>54</v>
      </c>
      <c r="S52" s="12">
        <f>SUM(S49:S51)</f>
        <v>0</v>
      </c>
      <c r="U52" s="183">
        <f>U49+U50+U51</f>
        <v>0</v>
      </c>
    </row>
    <row r="53" spans="1:24" x14ac:dyDescent="0.35">
      <c r="A53" s="245"/>
      <c r="B53" s="245"/>
      <c r="C53" s="245"/>
      <c r="D53" s="245"/>
      <c r="E53" s="245"/>
      <c r="F53" s="245"/>
      <c r="G53" s="245"/>
      <c r="I53" s="48" t="s">
        <v>24</v>
      </c>
      <c r="J53" s="8"/>
      <c r="K53" s="32">
        <f>S35+S71</f>
        <v>3625</v>
      </c>
      <c r="L53" s="130"/>
      <c r="M53" s="130"/>
      <c r="N53" s="130"/>
      <c r="O53" s="130"/>
      <c r="Q53" s="4" t="s">
        <v>113</v>
      </c>
      <c r="S53" s="12">
        <f>T53+U53+V53+W53</f>
        <v>0</v>
      </c>
      <c r="U53" s="117">
        <v>0</v>
      </c>
    </row>
    <row r="54" spans="1:24" ht="15" thickBot="1" x14ac:dyDescent="0.4">
      <c r="A54" s="245"/>
      <c r="B54" s="245"/>
      <c r="C54" s="245"/>
      <c r="D54" s="245"/>
      <c r="E54" s="245"/>
      <c r="F54" s="245"/>
      <c r="G54" s="245"/>
      <c r="I54" s="8"/>
      <c r="J54" s="8"/>
      <c r="K54" s="8"/>
      <c r="L54" s="8"/>
      <c r="M54" s="8"/>
      <c r="N54" s="8"/>
      <c r="O54" s="8"/>
      <c r="Q54" s="4" t="s">
        <v>114</v>
      </c>
      <c r="S54" s="12">
        <f>T54+U54+V54+W54</f>
        <v>0</v>
      </c>
      <c r="U54" s="199">
        <v>0</v>
      </c>
    </row>
    <row r="55" spans="1:24" x14ac:dyDescent="0.35">
      <c r="A55" s="239"/>
      <c r="B55" s="239"/>
      <c r="C55" s="239"/>
      <c r="D55" s="239"/>
      <c r="E55" s="239"/>
      <c r="F55" s="239"/>
      <c r="G55" s="239"/>
      <c r="I55" s="8"/>
      <c r="J55" s="8"/>
      <c r="K55" s="8"/>
      <c r="L55" s="8"/>
      <c r="M55" s="8"/>
      <c r="N55" s="8"/>
      <c r="O55" s="8"/>
      <c r="Q55" s="3" t="s">
        <v>61</v>
      </c>
      <c r="S55" s="12">
        <f>S53+S54</f>
        <v>0</v>
      </c>
      <c r="U55" s="12">
        <f>U53+U54</f>
        <v>0</v>
      </c>
    </row>
    <row r="56" spans="1:24" x14ac:dyDescent="0.35">
      <c r="A56" s="186" t="s">
        <v>82</v>
      </c>
      <c r="B56" s="130"/>
      <c r="C56" s="239"/>
      <c r="D56" s="239"/>
      <c r="E56" s="239"/>
      <c r="F56" s="239"/>
      <c r="G56" s="239"/>
      <c r="I56" s="20"/>
      <c r="J56" s="20"/>
      <c r="K56" s="20"/>
      <c r="L56" s="20"/>
      <c r="M56" s="20"/>
      <c r="N56" s="20"/>
      <c r="O56" s="20"/>
      <c r="Q56" s="3" t="s">
        <v>19</v>
      </c>
      <c r="S56" s="12">
        <f>S52+S55</f>
        <v>0</v>
      </c>
      <c r="U56" s="12">
        <f>U55+U52</f>
        <v>0</v>
      </c>
    </row>
    <row r="57" spans="1:24" x14ac:dyDescent="0.35">
      <c r="A57" s="239"/>
      <c r="B57" s="239"/>
      <c r="C57" s="239"/>
      <c r="D57" s="239"/>
      <c r="E57" s="239"/>
      <c r="F57" s="239"/>
      <c r="G57" s="239"/>
      <c r="I57" s="8"/>
      <c r="J57" s="8"/>
      <c r="K57" s="8"/>
      <c r="L57" s="8"/>
      <c r="M57" s="8"/>
      <c r="N57" s="8"/>
      <c r="O57" s="8"/>
      <c r="Q57" s="1" t="s">
        <v>115</v>
      </c>
      <c r="S57" s="12">
        <f>S49</f>
        <v>0</v>
      </c>
      <c r="T57" s="12">
        <f>T49</f>
        <v>0</v>
      </c>
      <c r="U57" s="12">
        <f>U49</f>
        <v>0</v>
      </c>
      <c r="V57" s="12"/>
      <c r="W57" s="12"/>
    </row>
    <row r="58" spans="1:24" x14ac:dyDescent="0.35">
      <c r="A58" s="130"/>
      <c r="B58" s="130"/>
      <c r="C58" s="130"/>
      <c r="D58" s="112" t="s">
        <v>36</v>
      </c>
      <c r="E58" s="112" t="s">
        <v>37</v>
      </c>
      <c r="F58" s="112" t="s">
        <v>38</v>
      </c>
      <c r="G58" s="112" t="s">
        <v>39</v>
      </c>
      <c r="I58" s="58" t="s">
        <v>116</v>
      </c>
      <c r="K58" s="16" t="s">
        <v>35</v>
      </c>
      <c r="L58" s="6" t="s">
        <v>36</v>
      </c>
      <c r="M58" s="6" t="s">
        <v>37</v>
      </c>
      <c r="N58" s="6" t="s">
        <v>38</v>
      </c>
      <c r="O58" s="6" t="s">
        <v>39</v>
      </c>
      <c r="Q58" s="1" t="s">
        <v>117</v>
      </c>
      <c r="S58" s="14">
        <f>S53+S49</f>
        <v>0</v>
      </c>
      <c r="T58" s="14">
        <f>T53+T49</f>
        <v>0</v>
      </c>
      <c r="U58" s="14">
        <f>U53+U49</f>
        <v>0</v>
      </c>
      <c r="V58" s="14"/>
      <c r="W58" s="14"/>
    </row>
    <row r="59" spans="1:24" ht="15" thickBot="1" x14ac:dyDescent="0.4">
      <c r="A59" s="130" t="s">
        <v>102</v>
      </c>
      <c r="B59" s="130"/>
      <c r="C59" s="61">
        <f>C43</f>
        <v>3000</v>
      </c>
      <c r="E59" s="130"/>
      <c r="F59" s="61">
        <f>F43</f>
        <v>3000</v>
      </c>
      <c r="G59" s="239"/>
      <c r="I59" t="s">
        <v>106</v>
      </c>
      <c r="O59"/>
    </row>
    <row r="60" spans="1:24" x14ac:dyDescent="0.35">
      <c r="A60" s="130" t="s">
        <v>86</v>
      </c>
      <c r="B60" s="130"/>
      <c r="C60" s="108"/>
      <c r="E60" s="130"/>
      <c r="F60" s="187">
        <f>IFERROR(F59/C59,0)</f>
        <v>1</v>
      </c>
      <c r="G60" s="239"/>
      <c r="I60" s="4" t="s">
        <v>47</v>
      </c>
      <c r="K60" s="9">
        <f>L60+M60+N60+O60</f>
        <v>0</v>
      </c>
      <c r="M60" s="117">
        <v>0</v>
      </c>
      <c r="O60"/>
    </row>
    <row r="61" spans="1:24" x14ac:dyDescent="0.35">
      <c r="A61" s="130" t="s">
        <v>105</v>
      </c>
      <c r="B61" s="130"/>
      <c r="C61" s="12">
        <f>C38+C45</f>
        <v>1500</v>
      </c>
      <c r="E61" s="130"/>
      <c r="F61" s="41">
        <f>F60*C61</f>
        <v>1500</v>
      </c>
      <c r="G61" s="239"/>
      <c r="I61" s="4" t="s">
        <v>109</v>
      </c>
      <c r="K61" s="9">
        <f>M61+L61+N61+O61</f>
        <v>0</v>
      </c>
      <c r="M61" s="159">
        <v>0</v>
      </c>
      <c r="O61"/>
    </row>
    <row r="62" spans="1:24" ht="15" thickBot="1" x14ac:dyDescent="0.4">
      <c r="A62" s="130" t="s">
        <v>107</v>
      </c>
      <c r="B62" s="130"/>
      <c r="C62" s="12">
        <f>C39+C46</f>
        <v>0</v>
      </c>
      <c r="E62" s="130"/>
      <c r="F62" s="41">
        <f>F60*C62</f>
        <v>0</v>
      </c>
      <c r="G62" s="239"/>
      <c r="I62" s="4" t="s">
        <v>111</v>
      </c>
      <c r="K62" s="9">
        <f>M62</f>
        <v>0</v>
      </c>
      <c r="M62" s="160">
        <v>0</v>
      </c>
      <c r="O62"/>
      <c r="Q62" s="55" t="s">
        <v>90</v>
      </c>
      <c r="T62" s="23"/>
      <c r="U62" s="8"/>
    </row>
    <row r="63" spans="1:24" ht="15" thickBot="1" x14ac:dyDescent="0.4">
      <c r="A63" s="130" t="s">
        <v>108</v>
      </c>
      <c r="B63" s="130"/>
      <c r="C63" s="14">
        <f>C47</f>
        <v>0</v>
      </c>
      <c r="E63" s="130"/>
      <c r="F63" s="41">
        <f>F60*C63</f>
        <v>0</v>
      </c>
      <c r="G63" s="239"/>
      <c r="I63" s="2" t="s">
        <v>54</v>
      </c>
      <c r="K63" s="12">
        <f>SUM(K60:K62)</f>
        <v>0</v>
      </c>
      <c r="M63" s="183">
        <f>M60+M61+M62</f>
        <v>0</v>
      </c>
      <c r="O63"/>
      <c r="T63" s="23"/>
      <c r="U63" s="8"/>
    </row>
    <row r="64" spans="1:24" x14ac:dyDescent="0.35">
      <c r="A64" s="130" t="s">
        <v>110</v>
      </c>
      <c r="B64" s="130"/>
      <c r="C64" s="12">
        <f>C41+C48</f>
        <v>0</v>
      </c>
      <c r="E64" s="130"/>
      <c r="F64" s="41">
        <f>F60*C64</f>
        <v>0</v>
      </c>
      <c r="G64" s="239"/>
      <c r="I64" s="4" t="s">
        <v>113</v>
      </c>
      <c r="K64" s="12">
        <f>L64+M64+N64+O64</f>
        <v>0</v>
      </c>
      <c r="M64" s="117">
        <v>0</v>
      </c>
      <c r="O64"/>
      <c r="Q64" t="s">
        <v>118</v>
      </c>
      <c r="R64" s="8" t="s">
        <v>75</v>
      </c>
      <c r="S64" s="16" t="s">
        <v>35</v>
      </c>
      <c r="T64" s="6" t="s">
        <v>36</v>
      </c>
      <c r="U64" s="6" t="s">
        <v>37</v>
      </c>
      <c r="V64" s="6" t="s">
        <v>38</v>
      </c>
      <c r="W64" s="6" t="s">
        <v>39</v>
      </c>
    </row>
    <row r="65" spans="1:23" ht="15" thickBot="1" x14ac:dyDescent="0.4">
      <c r="A65" s="188" t="s">
        <v>112</v>
      </c>
      <c r="B65" s="130"/>
      <c r="C65" s="12">
        <f>C61+C62+C63+C64</f>
        <v>1500</v>
      </c>
      <c r="E65" s="130"/>
      <c r="F65" s="12">
        <f>F61+F62+F63+F64</f>
        <v>1500</v>
      </c>
      <c r="G65" s="239"/>
      <c r="I65" s="4" t="s">
        <v>114</v>
      </c>
      <c r="K65" s="12">
        <f>L65+M65+N65+O65</f>
        <v>0</v>
      </c>
      <c r="M65" s="199">
        <v>0</v>
      </c>
      <c r="O65"/>
      <c r="Q65" s="4" t="s">
        <v>77</v>
      </c>
      <c r="S65" s="41">
        <f>S72*K46</f>
        <v>3750</v>
      </c>
      <c r="T65" s="59">
        <f>S72*L46</f>
        <v>2250</v>
      </c>
      <c r="U65" s="59">
        <f>S72*M46</f>
        <v>0</v>
      </c>
      <c r="V65" s="59">
        <f>S72*N46</f>
        <v>750</v>
      </c>
      <c r="W65" s="59">
        <f>S72*O46</f>
        <v>750</v>
      </c>
    </row>
    <row r="66" spans="1:23" x14ac:dyDescent="0.35">
      <c r="A66" s="189" t="s">
        <v>24</v>
      </c>
      <c r="B66" s="130"/>
      <c r="C66" s="32">
        <f>K41+K80</f>
        <v>1500</v>
      </c>
      <c r="D66" s="130"/>
      <c r="E66" s="130"/>
      <c r="F66" s="130"/>
      <c r="G66" s="130"/>
      <c r="I66" s="3" t="s">
        <v>61</v>
      </c>
      <c r="K66" s="12">
        <f>K64+K65</f>
        <v>0</v>
      </c>
      <c r="M66" s="61">
        <f>M64+M65</f>
        <v>0</v>
      </c>
      <c r="O66"/>
      <c r="Q66" s="4" t="s">
        <v>80</v>
      </c>
      <c r="R66" s="43">
        <f>100%-R30</f>
        <v>0.5</v>
      </c>
      <c r="S66" s="9">
        <f>R66*K48</f>
        <v>1500</v>
      </c>
      <c r="T66" s="41">
        <f>R66*L48</f>
        <v>900</v>
      </c>
      <c r="U66" s="41">
        <f>R66*M48</f>
        <v>0</v>
      </c>
      <c r="V66" s="41">
        <f>R66*N48</f>
        <v>300</v>
      </c>
      <c r="W66" s="41">
        <f>R66*O48</f>
        <v>300</v>
      </c>
    </row>
    <row r="67" spans="1:23" x14ac:dyDescent="0.35">
      <c r="I67" s="3" t="s">
        <v>19</v>
      </c>
      <c r="K67" s="12">
        <f>K63+K66</f>
        <v>0</v>
      </c>
      <c r="M67" s="61">
        <f>M66+M63</f>
        <v>0</v>
      </c>
      <c r="O67"/>
      <c r="Q67" s="4" t="s">
        <v>81</v>
      </c>
      <c r="R67" s="43">
        <f>100%-R31</f>
        <v>0.5</v>
      </c>
      <c r="S67" s="9">
        <f>R67*K49</f>
        <v>312.5</v>
      </c>
      <c r="T67" s="39">
        <f>R67*L49</f>
        <v>187.5</v>
      </c>
      <c r="U67" s="39">
        <f>R67*M49</f>
        <v>0</v>
      </c>
      <c r="V67" s="41">
        <f t="shared" ref="V67:V69" si="7">R67*N49</f>
        <v>62.5</v>
      </c>
      <c r="W67" s="41">
        <f t="shared" ref="W67:W69" si="8">R67*O49</f>
        <v>62.5</v>
      </c>
    </row>
    <row r="68" spans="1:23" x14ac:dyDescent="0.35">
      <c r="I68" s="1" t="s">
        <v>115</v>
      </c>
      <c r="K68" s="12">
        <f>K60</f>
        <v>0</v>
      </c>
      <c r="L68" s="12">
        <f>L60</f>
        <v>0</v>
      </c>
      <c r="M68" s="12">
        <f>M60</f>
        <v>0</v>
      </c>
      <c r="N68" s="12"/>
      <c r="O68" s="12"/>
      <c r="Q68" s="4" t="s">
        <v>83</v>
      </c>
      <c r="R68" s="43">
        <f>100%-R32</f>
        <v>0.5</v>
      </c>
      <c r="S68" s="9">
        <f>R68*K50</f>
        <v>0</v>
      </c>
      <c r="T68" s="41">
        <f>R68*L50</f>
        <v>0</v>
      </c>
      <c r="U68" s="41">
        <f>R68*M50</f>
        <v>0</v>
      </c>
      <c r="V68" s="41">
        <f t="shared" si="7"/>
        <v>0</v>
      </c>
      <c r="W68" s="41">
        <f t="shared" si="8"/>
        <v>0</v>
      </c>
    </row>
    <row r="69" spans="1:23" x14ac:dyDescent="0.35">
      <c r="I69" s="1" t="s">
        <v>117</v>
      </c>
      <c r="K69" s="14">
        <f>K64+K60</f>
        <v>0</v>
      </c>
      <c r="L69" s="14">
        <f>L64+L60</f>
        <v>0</v>
      </c>
      <c r="M69" s="14">
        <f>M64+M60</f>
        <v>0</v>
      </c>
      <c r="N69" s="14"/>
      <c r="O69" s="14"/>
      <c r="Q69" s="4" t="s">
        <v>61</v>
      </c>
      <c r="R69" s="43">
        <f>100%-R33</f>
        <v>0.5</v>
      </c>
      <c r="S69" s="9">
        <f>R69*K51</f>
        <v>0</v>
      </c>
      <c r="T69" s="41">
        <f>R69*L51</f>
        <v>0</v>
      </c>
      <c r="U69" s="41">
        <f>R69*M51</f>
        <v>0</v>
      </c>
      <c r="V69" s="41">
        <f t="shared" si="7"/>
        <v>0</v>
      </c>
      <c r="W69" s="41">
        <f t="shared" si="8"/>
        <v>0</v>
      </c>
    </row>
    <row r="70" spans="1:23" x14ac:dyDescent="0.35">
      <c r="O70"/>
      <c r="Q70" s="2" t="s">
        <v>84</v>
      </c>
      <c r="S70" s="12">
        <f>SUM(S66:S69)</f>
        <v>1812.5</v>
      </c>
      <c r="T70" s="12">
        <f t="shared" ref="T70" si="9">SUM(T66:T69)</f>
        <v>1087.5</v>
      </c>
      <c r="U70" s="12">
        <f>SUM(U66:U69)</f>
        <v>0</v>
      </c>
      <c r="V70" s="12">
        <f>SUM(V66:V69)</f>
        <v>362.5</v>
      </c>
      <c r="W70" s="12">
        <f t="shared" ref="W70" si="10">SUM(W66:W69)</f>
        <v>362.5</v>
      </c>
    </row>
    <row r="71" spans="1:23" x14ac:dyDescent="0.35">
      <c r="I71" s="56" t="s">
        <v>94</v>
      </c>
      <c r="L71" s="23"/>
      <c r="M71" s="23"/>
      <c r="N71" s="23"/>
      <c r="O71" s="8"/>
      <c r="Q71" s="49" t="s">
        <v>20</v>
      </c>
      <c r="S71" s="32">
        <f>(ABS(S69)+ABS(S66)+ABS(S67)+ABS(S68))</f>
        <v>1812.5</v>
      </c>
    </row>
    <row r="72" spans="1:23" x14ac:dyDescent="0.35">
      <c r="L72" s="23"/>
      <c r="M72" s="23"/>
      <c r="N72" s="23"/>
      <c r="O72" s="8"/>
      <c r="Q72" s="50" t="s">
        <v>87</v>
      </c>
      <c r="S72" s="34">
        <f>IFERROR(S71/K53,0)</f>
        <v>0.5</v>
      </c>
    </row>
    <row r="73" spans="1:23" x14ac:dyDescent="0.35">
      <c r="J73" s="8" t="s">
        <v>75</v>
      </c>
      <c r="K73" s="16" t="s">
        <v>35</v>
      </c>
      <c r="L73" s="6" t="s">
        <v>36</v>
      </c>
      <c r="M73" s="6" t="s">
        <v>37</v>
      </c>
      <c r="N73" s="6" t="s">
        <v>38</v>
      </c>
      <c r="O73" s="6" t="s">
        <v>39</v>
      </c>
    </row>
    <row r="74" spans="1:23" x14ac:dyDescent="0.35">
      <c r="I74" s="4" t="s">
        <v>77</v>
      </c>
      <c r="K74" s="41"/>
      <c r="M74" s="13"/>
      <c r="N74" s="59">
        <f>K81*F59</f>
        <v>1500</v>
      </c>
      <c r="O74" s="8"/>
    </row>
    <row r="75" spans="1:23" x14ac:dyDescent="0.35">
      <c r="I75" s="4" t="s">
        <v>80</v>
      </c>
      <c r="J75" s="43">
        <f>100%-J36</f>
        <v>0.5</v>
      </c>
      <c r="K75" s="9">
        <f>J75*C61</f>
        <v>750</v>
      </c>
      <c r="N75" s="41">
        <f>J75*F61</f>
        <v>750</v>
      </c>
      <c r="O75" s="8"/>
      <c r="Q75" s="63" t="s">
        <v>119</v>
      </c>
      <c r="S75" t="s">
        <v>120</v>
      </c>
      <c r="T75" s="6" t="s">
        <v>36</v>
      </c>
      <c r="U75" s="6" t="s">
        <v>37</v>
      </c>
      <c r="V75" s="6" t="s">
        <v>38</v>
      </c>
      <c r="W75" s="6" t="s">
        <v>39</v>
      </c>
    </row>
    <row r="76" spans="1:23" x14ac:dyDescent="0.35">
      <c r="I76" s="4" t="s">
        <v>81</v>
      </c>
      <c r="J76" s="43">
        <f>100%-J37</f>
        <v>0.5</v>
      </c>
      <c r="K76" s="9">
        <f>J76*C62</f>
        <v>0</v>
      </c>
      <c r="N76" s="41">
        <f>J76*F62</f>
        <v>0</v>
      </c>
      <c r="O76" s="8"/>
      <c r="Q76" s="4" t="s">
        <v>77</v>
      </c>
      <c r="S76" s="75">
        <f>SUM(T76:W76)</f>
        <v>3750</v>
      </c>
      <c r="T76" s="66">
        <f>T65+T58</f>
        <v>2250</v>
      </c>
      <c r="U76" s="66">
        <f>U58+U65</f>
        <v>0</v>
      </c>
      <c r="V76" s="66">
        <f>V65+V58</f>
        <v>750</v>
      </c>
      <c r="W76" s="45">
        <f>W65+W58</f>
        <v>750</v>
      </c>
    </row>
    <row r="77" spans="1:23" x14ac:dyDescent="0.35">
      <c r="I77" s="4" t="s">
        <v>83</v>
      </c>
      <c r="J77" s="43">
        <f>100%-J38</f>
        <v>0.5</v>
      </c>
      <c r="K77" s="9">
        <f>J77*C63</f>
        <v>0</v>
      </c>
      <c r="N77" s="41">
        <f>J77*F63</f>
        <v>0</v>
      </c>
      <c r="O77" s="8"/>
      <c r="Q77" s="45" t="s">
        <v>103</v>
      </c>
      <c r="S77" s="65"/>
      <c r="T77" s="173">
        <f>IFERROR(T76/S76,0)</f>
        <v>0.6</v>
      </c>
      <c r="U77" s="40">
        <v>1</v>
      </c>
      <c r="V77" s="173">
        <f>IFERROR(V76/S76,0)</f>
        <v>0.2</v>
      </c>
      <c r="W77" s="173">
        <f>IFERROR(W76/S76,0)</f>
        <v>0.2</v>
      </c>
    </row>
    <row r="78" spans="1:23" x14ac:dyDescent="0.35">
      <c r="I78" s="4" t="s">
        <v>61</v>
      </c>
      <c r="J78" s="43">
        <f>100%-J39</f>
        <v>0.5</v>
      </c>
      <c r="K78" s="9">
        <f>J78*C64</f>
        <v>0</v>
      </c>
      <c r="N78" s="41">
        <f>J78*F64</f>
        <v>0</v>
      </c>
      <c r="O78" s="8"/>
      <c r="Q78" s="4" t="s">
        <v>121</v>
      </c>
      <c r="S78" s="13">
        <f>S52</f>
        <v>0</v>
      </c>
      <c r="T78" s="67">
        <f>S78*T77</f>
        <v>0</v>
      </c>
      <c r="U78" s="41"/>
      <c r="V78" s="13">
        <f>V77*S78</f>
        <v>0</v>
      </c>
      <c r="W78" s="8">
        <f>W77*S78</f>
        <v>0</v>
      </c>
    </row>
    <row r="79" spans="1:23" x14ac:dyDescent="0.35">
      <c r="I79" s="2" t="s">
        <v>84</v>
      </c>
      <c r="K79" s="12">
        <f>SUM(K75:K78)</f>
        <v>750</v>
      </c>
      <c r="N79" s="61">
        <f t="shared" ref="N79" si="11">SUM(N75:N78)</f>
        <v>750</v>
      </c>
      <c r="O79" s="8"/>
      <c r="Q79" s="4" t="s">
        <v>80</v>
      </c>
      <c r="S79" s="13">
        <f>S66</f>
        <v>1500</v>
      </c>
      <c r="T79" s="67">
        <f>S79*T77</f>
        <v>900</v>
      </c>
      <c r="U79" s="41"/>
      <c r="V79" s="13">
        <f>V77*S79</f>
        <v>300</v>
      </c>
      <c r="W79" s="8">
        <f>W77*S79</f>
        <v>300</v>
      </c>
    </row>
    <row r="80" spans="1:23" x14ac:dyDescent="0.35">
      <c r="I80" s="49" t="s">
        <v>20</v>
      </c>
      <c r="K80" s="32">
        <f>(ABS(K78)+ABS(K75)+ABS(K76)+ABS(K77))</f>
        <v>750</v>
      </c>
      <c r="O80"/>
      <c r="Q80" s="4" t="s">
        <v>81</v>
      </c>
      <c r="S80" s="13">
        <f>S67</f>
        <v>312.5</v>
      </c>
      <c r="T80" s="67">
        <f>S80*T77</f>
        <v>187.5</v>
      </c>
      <c r="U80" s="41"/>
      <c r="V80" s="13">
        <f>V77*S80</f>
        <v>62.5</v>
      </c>
      <c r="W80" s="8">
        <f>W77*S80</f>
        <v>62.5</v>
      </c>
    </row>
    <row r="81" spans="9:23" x14ac:dyDescent="0.35">
      <c r="I81" s="50" t="s">
        <v>87</v>
      </c>
      <c r="K81" s="34">
        <f>IFERROR(K80/C66,0)</f>
        <v>0.5</v>
      </c>
      <c r="O81"/>
      <c r="Q81" s="4" t="s">
        <v>83</v>
      </c>
      <c r="S81" s="13">
        <f>S68</f>
        <v>0</v>
      </c>
      <c r="T81" s="107">
        <f>T77*S81</f>
        <v>0</v>
      </c>
      <c r="U81" s="41"/>
      <c r="V81" s="13">
        <f>V77*S81</f>
        <v>0</v>
      </c>
      <c r="W81" s="8">
        <f>W77*S81</f>
        <v>0</v>
      </c>
    </row>
    <row r="82" spans="9:23" ht="15" thickBot="1" x14ac:dyDescent="0.4">
      <c r="O82"/>
      <c r="Q82" s="4" t="s">
        <v>122</v>
      </c>
      <c r="S82" s="13">
        <f>SUM(S78:S81)</f>
        <v>1812.5</v>
      </c>
      <c r="T82" s="13">
        <f>SUM(T78:T81)</f>
        <v>1087.5</v>
      </c>
      <c r="U82" s="41"/>
      <c r="V82" s="13">
        <f>SUM(V78:V81)</f>
        <v>362.5</v>
      </c>
      <c r="W82" s="8">
        <f>W77*S82</f>
        <v>362.5</v>
      </c>
    </row>
    <row r="83" spans="9:23" ht="15" thickBot="1" x14ac:dyDescent="0.4">
      <c r="O83"/>
      <c r="Q83" s="240" t="s">
        <v>123</v>
      </c>
      <c r="R83" s="126">
        <v>0</v>
      </c>
      <c r="S83" s="71">
        <f>MAX(0,S82*R83)</f>
        <v>0</v>
      </c>
      <c r="T83" s="68"/>
      <c r="U83" s="69"/>
      <c r="V83" s="69"/>
      <c r="W83" s="39"/>
    </row>
    <row r="84" spans="9:23" ht="15" thickBot="1" x14ac:dyDescent="0.4">
      <c r="I84" s="63" t="s">
        <v>124</v>
      </c>
      <c r="K84" t="s">
        <v>120</v>
      </c>
      <c r="L84" s="6" t="s">
        <v>36</v>
      </c>
      <c r="M84" s="6" t="s">
        <v>37</v>
      </c>
      <c r="N84" s="6" t="s">
        <v>38</v>
      </c>
      <c r="O84" s="6" t="s">
        <v>39</v>
      </c>
      <c r="Q84" s="4" t="s">
        <v>125</v>
      </c>
      <c r="S84" s="41"/>
      <c r="T84" s="126">
        <v>0</v>
      </c>
      <c r="U84" s="41"/>
      <c r="V84" s="126">
        <v>0</v>
      </c>
      <c r="W84" s="126">
        <v>0</v>
      </c>
    </row>
    <row r="85" spans="9:23" x14ac:dyDescent="0.35">
      <c r="I85" s="4" t="s">
        <v>77</v>
      </c>
      <c r="K85" s="75">
        <f>SUM(L85:O85)</f>
        <v>1500</v>
      </c>
      <c r="L85" s="66">
        <f>L74+L69</f>
        <v>0</v>
      </c>
      <c r="M85" s="66">
        <f>M69+M74</f>
        <v>0</v>
      </c>
      <c r="N85" s="66">
        <f>N74+M69</f>
        <v>1500</v>
      </c>
      <c r="O85" s="45">
        <f>O74+O69</f>
        <v>0</v>
      </c>
      <c r="Q85" s="4" t="s">
        <v>126</v>
      </c>
      <c r="S85" s="13">
        <f>T85+U85+V85+W85</f>
        <v>0</v>
      </c>
      <c r="T85" s="73">
        <f>MIN(Q83,MAX(T84*T82,0))</f>
        <v>0</v>
      </c>
      <c r="U85" s="41"/>
      <c r="V85" s="73">
        <f>MIN(S83,MAX(V84*V82,0))</f>
        <v>0</v>
      </c>
      <c r="W85" s="73">
        <f>MIN(T83,MAX(W84*W82,0))</f>
        <v>0</v>
      </c>
    </row>
    <row r="86" spans="9:23" x14ac:dyDescent="0.35">
      <c r="I86" s="45" t="s">
        <v>103</v>
      </c>
      <c r="K86" s="65"/>
      <c r="L86" s="46">
        <f>IFERROR(L85/K85,0)</f>
        <v>0</v>
      </c>
      <c r="M86" s="40">
        <v>1</v>
      </c>
      <c r="N86" s="173">
        <f>IFERROR(N85/K85,0)</f>
        <v>1</v>
      </c>
      <c r="O86" s="46">
        <f>IFERROR(O85/N85,0)</f>
        <v>0</v>
      </c>
      <c r="Q86" s="4" t="s">
        <v>127</v>
      </c>
      <c r="S86" s="13">
        <f>MAX(0,S83-S85)</f>
        <v>0</v>
      </c>
      <c r="T86" s="70"/>
      <c r="U86" s="41"/>
      <c r="V86" s="69"/>
      <c r="W86" s="40"/>
    </row>
    <row r="87" spans="9:23" ht="15" thickBot="1" x14ac:dyDescent="0.4">
      <c r="I87" s="4" t="s">
        <v>121</v>
      </c>
      <c r="K87" s="13">
        <f>K63</f>
        <v>0</v>
      </c>
      <c r="M87" s="41"/>
      <c r="N87" s="13">
        <f>N86*K87</f>
        <v>0</v>
      </c>
      <c r="O87" s="8"/>
      <c r="Q87" s="4" t="s">
        <v>128</v>
      </c>
      <c r="S87" s="13">
        <f>S69+S55</f>
        <v>0</v>
      </c>
      <c r="T87" s="13">
        <f>T77*$S$87</f>
        <v>0</v>
      </c>
      <c r="U87" s="41"/>
      <c r="V87" s="13">
        <f>V77*$S$87</f>
        <v>0</v>
      </c>
      <c r="W87" s="13">
        <f>W77*$S$87</f>
        <v>0</v>
      </c>
    </row>
    <row r="88" spans="9:23" ht="15" thickBot="1" x14ac:dyDescent="0.4">
      <c r="I88" s="4" t="s">
        <v>80</v>
      </c>
      <c r="K88" s="13">
        <f>K75</f>
        <v>750</v>
      </c>
      <c r="M88" s="41"/>
      <c r="N88" s="13">
        <f>N86*K88</f>
        <v>750</v>
      </c>
      <c r="O88" s="8"/>
      <c r="Q88" s="240" t="s">
        <v>129</v>
      </c>
      <c r="R88" s="126">
        <v>0</v>
      </c>
      <c r="S88" s="71">
        <f>MAX(0,S87*R88)</f>
        <v>0</v>
      </c>
      <c r="T88" s="68"/>
      <c r="U88" s="69"/>
      <c r="V88" s="69"/>
      <c r="W88" s="39"/>
    </row>
    <row r="89" spans="9:23" ht="15" thickBot="1" x14ac:dyDescent="0.4">
      <c r="I89" s="4" t="s">
        <v>81</v>
      </c>
      <c r="K89" s="13">
        <f>K76</f>
        <v>0</v>
      </c>
      <c r="M89" s="41"/>
      <c r="N89" s="13">
        <f>N86*K89</f>
        <v>0</v>
      </c>
      <c r="O89" s="8"/>
      <c r="Q89" s="4" t="s">
        <v>125</v>
      </c>
      <c r="S89" s="41"/>
      <c r="T89" s="126">
        <v>0</v>
      </c>
      <c r="U89" s="41"/>
      <c r="V89" s="126">
        <v>0</v>
      </c>
      <c r="W89" s="126">
        <v>0</v>
      </c>
    </row>
    <row r="90" spans="9:23" x14ac:dyDescent="0.35">
      <c r="I90" s="4" t="s">
        <v>83</v>
      </c>
      <c r="K90" s="13">
        <f>K77</f>
        <v>0</v>
      </c>
      <c r="M90" s="41"/>
      <c r="N90" s="13">
        <f>N86*K90</f>
        <v>0</v>
      </c>
      <c r="O90" s="8"/>
      <c r="Q90" s="4" t="s">
        <v>126</v>
      </c>
      <c r="S90" s="13">
        <f>T90+U90+V90+W90</f>
        <v>0</v>
      </c>
      <c r="T90" s="73">
        <f>MIN(Q88,MAX(T89*T87,0))</f>
        <v>0</v>
      </c>
      <c r="U90" s="41"/>
      <c r="V90" s="73">
        <f>MIN(S88,MAX(V89*V87,0))</f>
        <v>0</v>
      </c>
      <c r="W90" s="73">
        <f>MIN(T88,MAX(W89*W87,0))</f>
        <v>0</v>
      </c>
    </row>
    <row r="91" spans="9:23" ht="15" thickBot="1" x14ac:dyDescent="0.4">
      <c r="I91" s="4" t="s">
        <v>122</v>
      </c>
      <c r="K91" s="13">
        <f>SUM(K87:K90)</f>
        <v>750</v>
      </c>
      <c r="M91" s="41"/>
      <c r="N91" s="13">
        <f>SUM(N87:N90)</f>
        <v>750</v>
      </c>
      <c r="O91" s="8"/>
      <c r="Q91" s="4" t="s">
        <v>130</v>
      </c>
      <c r="S91" s="13">
        <f>MAX(0,S88-S90)</f>
        <v>0</v>
      </c>
      <c r="T91" s="70"/>
      <c r="U91" s="41"/>
      <c r="V91" s="69"/>
      <c r="W91" s="40"/>
    </row>
    <row r="92" spans="9:23" ht="15" thickBot="1" x14ac:dyDescent="0.4">
      <c r="I92" s="4" t="s">
        <v>131</v>
      </c>
      <c r="J92" s="126">
        <v>0</v>
      </c>
      <c r="K92" s="71">
        <f>MAX(0,K91*J92)</f>
        <v>0</v>
      </c>
      <c r="L92" s="68"/>
      <c r="M92" s="69"/>
      <c r="N92" s="69"/>
      <c r="O92" s="39"/>
      <c r="Q92" s="4" t="s">
        <v>132</v>
      </c>
      <c r="T92" s="194">
        <f>T90+T85</f>
        <v>0</v>
      </c>
      <c r="U92" s="71">
        <f>S91+S86</f>
        <v>0</v>
      </c>
      <c r="V92" s="74">
        <f>V90+V85</f>
        <v>0</v>
      </c>
      <c r="W92" s="73">
        <f>W90+W85</f>
        <v>0</v>
      </c>
    </row>
    <row r="93" spans="9:23" ht="15" thickBot="1" x14ac:dyDescent="0.4">
      <c r="I93" s="4" t="s">
        <v>125</v>
      </c>
      <c r="K93" s="41"/>
      <c r="L93" s="17"/>
      <c r="M93" s="41"/>
      <c r="N93" s="126">
        <v>0</v>
      </c>
      <c r="O93" s="193"/>
      <c r="W93" s="8"/>
    </row>
    <row r="94" spans="9:23" x14ac:dyDescent="0.35">
      <c r="I94" s="4" t="s">
        <v>126</v>
      </c>
      <c r="K94" s="13">
        <f>L94+M94+N94+O94</f>
        <v>0</v>
      </c>
      <c r="L94" s="17"/>
      <c r="M94" s="41"/>
      <c r="N94" s="73">
        <f>MIN(K92,MAX(N93*N91,0))</f>
        <v>0</v>
      </c>
      <c r="O94" s="33"/>
    </row>
    <row r="95" spans="9:23" x14ac:dyDescent="0.35">
      <c r="I95" s="4" t="s">
        <v>127</v>
      </c>
      <c r="K95" s="13">
        <f>MAX(0,K92-K94)</f>
        <v>0</v>
      </c>
      <c r="L95" s="70"/>
      <c r="M95" s="41"/>
      <c r="N95" s="69"/>
      <c r="O95" s="40"/>
    </row>
    <row r="96" spans="9:23" ht="15" thickBot="1" x14ac:dyDescent="0.4">
      <c r="I96" s="4" t="s">
        <v>61</v>
      </c>
      <c r="K96" s="13">
        <f>K78+K66</f>
        <v>0</v>
      </c>
      <c r="M96" s="41"/>
      <c r="N96" s="13">
        <f>N86*K96</f>
        <v>0</v>
      </c>
      <c r="O96" s="8"/>
    </row>
    <row r="97" spans="9:15" ht="15" thickBot="1" x14ac:dyDescent="0.4">
      <c r="I97" s="4" t="s">
        <v>131</v>
      </c>
      <c r="J97" s="126">
        <v>0</v>
      </c>
      <c r="K97" s="71">
        <f>MAX(0,K96*J97)</f>
        <v>0</v>
      </c>
      <c r="L97" s="68"/>
      <c r="M97" s="69"/>
      <c r="N97" s="69"/>
      <c r="O97" s="39"/>
    </row>
    <row r="98" spans="9:15" ht="15" thickBot="1" x14ac:dyDescent="0.4">
      <c r="I98" s="4" t="s">
        <v>125</v>
      </c>
      <c r="K98" s="41"/>
      <c r="L98" s="17"/>
      <c r="M98" s="41"/>
      <c r="N98" s="126">
        <v>0</v>
      </c>
      <c r="O98" s="33"/>
    </row>
    <row r="99" spans="9:15" x14ac:dyDescent="0.35">
      <c r="I99" s="4" t="s">
        <v>126</v>
      </c>
      <c r="K99" s="13">
        <f>L99+M99+N99+O99</f>
        <v>0</v>
      </c>
      <c r="L99" s="17"/>
      <c r="M99" s="41"/>
      <c r="N99" s="73">
        <f>MIN(K97,MAX(N98*N96,0))</f>
        <v>0</v>
      </c>
      <c r="O99" s="33"/>
    </row>
    <row r="100" spans="9:15" x14ac:dyDescent="0.35">
      <c r="I100" s="4" t="s">
        <v>130</v>
      </c>
      <c r="K100" s="13">
        <f>MAX(0,K97-K99)</f>
        <v>0</v>
      </c>
      <c r="L100" s="70"/>
      <c r="M100" s="41"/>
      <c r="N100" s="69"/>
      <c r="O100" s="40"/>
    </row>
    <row r="101" spans="9:15" x14ac:dyDescent="0.35">
      <c r="I101" s="4" t="s">
        <v>132</v>
      </c>
      <c r="L101" s="7">
        <f>L99+L94</f>
        <v>0</v>
      </c>
      <c r="M101" s="71">
        <f>K100+K95</f>
        <v>0</v>
      </c>
      <c r="N101" s="74">
        <f>N99+N94</f>
        <v>0</v>
      </c>
      <c r="O101" s="8">
        <f>O99+O94</f>
        <v>0</v>
      </c>
    </row>
    <row r="102" spans="9:15" x14ac:dyDescent="0.35">
      <c r="O102" s="8"/>
    </row>
    <row r="103" spans="9:15" x14ac:dyDescent="0.35">
      <c r="O103" s="8"/>
    </row>
    <row r="104" spans="9:15" x14ac:dyDescent="0.35">
      <c r="I104" s="238" t="s">
        <v>133</v>
      </c>
      <c r="O104" s="8"/>
    </row>
    <row r="105" spans="9:15" x14ac:dyDescent="0.35">
      <c r="O105" s="8"/>
    </row>
    <row r="106" spans="9:15" x14ac:dyDescent="0.35">
      <c r="O106" s="8"/>
    </row>
    <row r="107" spans="9:15" x14ac:dyDescent="0.35">
      <c r="O107" s="8"/>
    </row>
    <row r="108" spans="9:15" x14ac:dyDescent="0.35">
      <c r="O108" s="8"/>
    </row>
    <row r="109" spans="9:15" x14ac:dyDescent="0.35">
      <c r="O109" s="8"/>
    </row>
    <row r="110" spans="9:15" x14ac:dyDescent="0.35">
      <c r="O110" s="8"/>
    </row>
    <row r="111" spans="9:15" x14ac:dyDescent="0.35">
      <c r="O111" s="8"/>
    </row>
    <row r="112" spans="9:15" x14ac:dyDescent="0.35">
      <c r="O112" s="8"/>
    </row>
    <row r="113" spans="15:15" x14ac:dyDescent="0.35">
      <c r="O113" s="8"/>
    </row>
    <row r="114" spans="15:15" x14ac:dyDescent="0.35">
      <c r="O114" s="8"/>
    </row>
    <row r="115" spans="15:15" x14ac:dyDescent="0.35">
      <c r="O115" s="8"/>
    </row>
    <row r="116" spans="15:15" x14ac:dyDescent="0.35">
      <c r="O116" s="8"/>
    </row>
    <row r="117" spans="15:15" x14ac:dyDescent="0.35">
      <c r="O117" s="8"/>
    </row>
    <row r="118" spans="15:15" x14ac:dyDescent="0.35">
      <c r="O118" s="8"/>
    </row>
    <row r="119" spans="15:15" x14ac:dyDescent="0.35">
      <c r="O119" s="8"/>
    </row>
    <row r="120" spans="15:15" x14ac:dyDescent="0.35">
      <c r="O120" s="8"/>
    </row>
    <row r="121" spans="15:15" x14ac:dyDescent="0.35">
      <c r="O121" s="8"/>
    </row>
    <row r="122" spans="15:15" x14ac:dyDescent="0.35">
      <c r="O122" s="8"/>
    </row>
    <row r="123" spans="15:15" x14ac:dyDescent="0.35">
      <c r="O123" s="8"/>
    </row>
    <row r="124" spans="15:15" x14ac:dyDescent="0.35">
      <c r="O124" s="8"/>
    </row>
    <row r="125" spans="15:15" x14ac:dyDescent="0.35">
      <c r="O125" s="8"/>
    </row>
    <row r="126" spans="15:15" x14ac:dyDescent="0.35">
      <c r="O126" s="8"/>
    </row>
    <row r="127" spans="15:15" x14ac:dyDescent="0.35">
      <c r="O127" s="8"/>
    </row>
    <row r="128" spans="15:15" x14ac:dyDescent="0.35">
      <c r="O128" s="8"/>
    </row>
    <row r="129" spans="15:15" x14ac:dyDescent="0.35">
      <c r="O129" s="8"/>
    </row>
    <row r="130" spans="15:15" x14ac:dyDescent="0.35">
      <c r="O130" s="8"/>
    </row>
    <row r="131" spans="15:15" x14ac:dyDescent="0.35">
      <c r="O131" s="8"/>
    </row>
    <row r="132" spans="15:15" x14ac:dyDescent="0.35">
      <c r="O132" s="8"/>
    </row>
    <row r="133" spans="15:15" x14ac:dyDescent="0.35">
      <c r="O133" s="8"/>
    </row>
    <row r="134" spans="15:15" x14ac:dyDescent="0.35">
      <c r="O134" s="8"/>
    </row>
    <row r="135" spans="15:15" x14ac:dyDescent="0.35">
      <c r="O135" s="8"/>
    </row>
    <row r="136" spans="15:15" x14ac:dyDescent="0.35">
      <c r="O136" s="8"/>
    </row>
    <row r="137" spans="15:15" x14ac:dyDescent="0.35">
      <c r="O137" s="8"/>
    </row>
    <row r="138" spans="15:15" x14ac:dyDescent="0.35">
      <c r="O138" s="8"/>
    </row>
    <row r="139" spans="15:15" x14ac:dyDescent="0.35">
      <c r="O139" s="8"/>
    </row>
    <row r="140" spans="15:15" x14ac:dyDescent="0.35">
      <c r="O140" s="8"/>
    </row>
    <row r="141" spans="15:15" x14ac:dyDescent="0.35">
      <c r="O141" s="8"/>
    </row>
    <row r="142" spans="15:15" x14ac:dyDescent="0.35">
      <c r="O142" s="8"/>
    </row>
    <row r="143" spans="15:15" x14ac:dyDescent="0.35">
      <c r="O143" s="8"/>
    </row>
    <row r="144" spans="15:15" x14ac:dyDescent="0.35">
      <c r="O144" s="8"/>
    </row>
    <row r="145" spans="15:15" x14ac:dyDescent="0.35">
      <c r="O145" s="8"/>
    </row>
    <row r="146" spans="15:15" x14ac:dyDescent="0.35">
      <c r="O146" s="8"/>
    </row>
    <row r="147" spans="15:15" x14ac:dyDescent="0.35">
      <c r="O147" s="8"/>
    </row>
    <row r="148" spans="15:15" x14ac:dyDescent="0.35">
      <c r="O148" s="8"/>
    </row>
    <row r="149" spans="15:15" x14ac:dyDescent="0.35">
      <c r="O149" s="8"/>
    </row>
    <row r="150" spans="15:15" x14ac:dyDescent="0.35">
      <c r="O150" s="8"/>
    </row>
    <row r="151" spans="15:15" x14ac:dyDescent="0.35">
      <c r="O151" s="8"/>
    </row>
    <row r="152" spans="15:15" x14ac:dyDescent="0.35">
      <c r="O152" s="8"/>
    </row>
    <row r="153" spans="15:15" x14ac:dyDescent="0.35">
      <c r="O153" s="8"/>
    </row>
    <row r="154" spans="15:15" x14ac:dyDescent="0.35">
      <c r="O154" s="8"/>
    </row>
    <row r="155" spans="15:15" x14ac:dyDescent="0.35">
      <c r="O155" s="8"/>
    </row>
    <row r="156" spans="15:15" x14ac:dyDescent="0.35">
      <c r="O156" s="8"/>
    </row>
    <row r="157" spans="15:15" x14ac:dyDescent="0.35">
      <c r="O157" s="8"/>
    </row>
    <row r="158" spans="15:15" x14ac:dyDescent="0.35">
      <c r="O158" s="8"/>
    </row>
    <row r="159" spans="15:15" x14ac:dyDescent="0.35">
      <c r="O159" s="8"/>
    </row>
    <row r="160" spans="15:15" x14ac:dyDescent="0.35">
      <c r="O160" s="8"/>
    </row>
    <row r="161" spans="15:15" x14ac:dyDescent="0.35">
      <c r="O161" s="8"/>
    </row>
    <row r="162" spans="15:15" x14ac:dyDescent="0.35">
      <c r="O162" s="8"/>
    </row>
    <row r="163" spans="15:15" x14ac:dyDescent="0.35">
      <c r="O163" s="8"/>
    </row>
    <row r="164" spans="15:15" x14ac:dyDescent="0.35">
      <c r="O164" s="8"/>
    </row>
    <row r="165" spans="15:15" x14ac:dyDescent="0.35">
      <c r="O165" s="8"/>
    </row>
    <row r="166" spans="15:15" x14ac:dyDescent="0.35">
      <c r="O166" s="8"/>
    </row>
    <row r="167" spans="15:15" x14ac:dyDescent="0.35">
      <c r="O167" s="8"/>
    </row>
    <row r="168" spans="15:15" x14ac:dyDescent="0.35">
      <c r="O168" s="8"/>
    </row>
    <row r="169" spans="15:15" x14ac:dyDescent="0.35">
      <c r="O169" s="8"/>
    </row>
    <row r="170" spans="15:15" x14ac:dyDescent="0.35">
      <c r="O170" s="8"/>
    </row>
    <row r="171" spans="15:15" x14ac:dyDescent="0.35">
      <c r="O171" s="8"/>
    </row>
    <row r="172" spans="15:15" x14ac:dyDescent="0.35">
      <c r="O172" s="8"/>
    </row>
    <row r="173" spans="15:15" x14ac:dyDescent="0.35">
      <c r="O173" s="8"/>
    </row>
    <row r="174" spans="15:15" x14ac:dyDescent="0.35">
      <c r="O174" s="8"/>
    </row>
    <row r="175" spans="15:15" x14ac:dyDescent="0.35">
      <c r="O175" s="8"/>
    </row>
    <row r="176" spans="15:15" x14ac:dyDescent="0.35">
      <c r="O176" s="8"/>
    </row>
    <row r="177" spans="15:15" x14ac:dyDescent="0.35">
      <c r="O177" s="8"/>
    </row>
    <row r="178" spans="15:15" x14ac:dyDescent="0.35">
      <c r="O178" s="8"/>
    </row>
    <row r="179" spans="15:15" x14ac:dyDescent="0.35">
      <c r="O179" s="8"/>
    </row>
    <row r="180" spans="15:15" x14ac:dyDescent="0.35">
      <c r="O180" s="8"/>
    </row>
    <row r="181" spans="15:15" x14ac:dyDescent="0.35">
      <c r="O181" s="8"/>
    </row>
    <row r="182" spans="15:15" x14ac:dyDescent="0.35">
      <c r="O182" s="8"/>
    </row>
    <row r="183" spans="15:15" x14ac:dyDescent="0.35">
      <c r="O183" s="8"/>
    </row>
    <row r="184" spans="15:15" x14ac:dyDescent="0.35">
      <c r="O184" s="8"/>
    </row>
    <row r="185" spans="15:15" x14ac:dyDescent="0.35">
      <c r="O185" s="8"/>
    </row>
    <row r="186" spans="15:15" x14ac:dyDescent="0.35">
      <c r="O186" s="8"/>
    </row>
    <row r="187" spans="15:15" x14ac:dyDescent="0.35">
      <c r="O187" s="8"/>
    </row>
    <row r="188" spans="15:15" x14ac:dyDescent="0.35">
      <c r="O188" s="8"/>
    </row>
    <row r="189" spans="15:15" x14ac:dyDescent="0.35">
      <c r="O189" s="8"/>
    </row>
    <row r="190" spans="15:15" x14ac:dyDescent="0.35">
      <c r="O190" s="8"/>
    </row>
    <row r="191" spans="15:15" x14ac:dyDescent="0.35">
      <c r="O191" s="8"/>
    </row>
    <row r="192" spans="15:15" x14ac:dyDescent="0.35">
      <c r="O192" s="8"/>
    </row>
    <row r="193" spans="15:15" x14ac:dyDescent="0.35">
      <c r="O193" s="8"/>
    </row>
    <row r="194" spans="15:15" x14ac:dyDescent="0.35">
      <c r="O194" s="8"/>
    </row>
    <row r="195" spans="15:15" x14ac:dyDescent="0.35">
      <c r="O195" s="8"/>
    </row>
    <row r="196" spans="15:15" x14ac:dyDescent="0.35">
      <c r="O196" s="8"/>
    </row>
    <row r="197" spans="15:15" x14ac:dyDescent="0.35">
      <c r="O197" s="8"/>
    </row>
    <row r="198" spans="15:15" x14ac:dyDescent="0.35">
      <c r="O198" s="8"/>
    </row>
    <row r="199" spans="15:15" x14ac:dyDescent="0.35">
      <c r="O199" s="8"/>
    </row>
    <row r="200" spans="15:15" x14ac:dyDescent="0.35">
      <c r="O200" s="8"/>
    </row>
    <row r="201" spans="15:15" x14ac:dyDescent="0.35">
      <c r="O201" s="8"/>
    </row>
    <row r="202" spans="15:15" x14ac:dyDescent="0.35">
      <c r="O202" s="8"/>
    </row>
    <row r="203" spans="15:15" x14ac:dyDescent="0.35">
      <c r="O203" s="8"/>
    </row>
    <row r="204" spans="15:15" x14ac:dyDescent="0.35">
      <c r="O204" s="8"/>
    </row>
    <row r="205" spans="15:15" x14ac:dyDescent="0.35">
      <c r="O205" s="8"/>
    </row>
    <row r="206" spans="15:15" x14ac:dyDescent="0.35">
      <c r="O206" s="8"/>
    </row>
    <row r="207" spans="15:15" x14ac:dyDescent="0.35">
      <c r="O207" s="8"/>
    </row>
    <row r="208" spans="15:15" x14ac:dyDescent="0.35">
      <c r="O208" s="8"/>
    </row>
    <row r="209" spans="15:15" x14ac:dyDescent="0.35">
      <c r="O209" s="8"/>
    </row>
    <row r="210" spans="15:15" x14ac:dyDescent="0.35">
      <c r="O210" s="8"/>
    </row>
    <row r="211" spans="15:15" x14ac:dyDescent="0.35">
      <c r="O211" s="8"/>
    </row>
    <row r="212" spans="15:15" x14ac:dyDescent="0.35">
      <c r="O212" s="8"/>
    </row>
    <row r="213" spans="15:15" x14ac:dyDescent="0.35">
      <c r="O213" s="8"/>
    </row>
    <row r="214" spans="15:15" x14ac:dyDescent="0.35">
      <c r="O214" s="8"/>
    </row>
    <row r="215" spans="15:15" x14ac:dyDescent="0.35">
      <c r="O215" s="8"/>
    </row>
    <row r="216" spans="15:15" x14ac:dyDescent="0.35">
      <c r="O216" s="8"/>
    </row>
    <row r="217" spans="15:15" x14ac:dyDescent="0.35">
      <c r="O217" s="8"/>
    </row>
    <row r="218" spans="15:15" x14ac:dyDescent="0.35">
      <c r="O218" s="8"/>
    </row>
    <row r="219" spans="15:15" x14ac:dyDescent="0.35">
      <c r="O219" s="8"/>
    </row>
    <row r="220" spans="15:15" x14ac:dyDescent="0.35">
      <c r="O220" s="8"/>
    </row>
    <row r="221" spans="15:15" x14ac:dyDescent="0.35">
      <c r="O221" s="8"/>
    </row>
    <row r="222" spans="15:15" x14ac:dyDescent="0.35">
      <c r="O222" s="8"/>
    </row>
    <row r="223" spans="15:15" x14ac:dyDescent="0.35">
      <c r="O223" s="8"/>
    </row>
    <row r="224" spans="15:15" x14ac:dyDescent="0.35">
      <c r="O224" s="8"/>
    </row>
    <row r="225" spans="15:15" x14ac:dyDescent="0.35">
      <c r="O225" s="8"/>
    </row>
    <row r="226" spans="15:15" x14ac:dyDescent="0.35">
      <c r="O226" s="8"/>
    </row>
    <row r="227" spans="15:15" x14ac:dyDescent="0.35">
      <c r="O227" s="8"/>
    </row>
    <row r="228" spans="15:15" x14ac:dyDescent="0.35">
      <c r="O228" s="8"/>
    </row>
    <row r="229" spans="15:15" x14ac:dyDescent="0.35">
      <c r="O229" s="8"/>
    </row>
    <row r="230" spans="15:15" x14ac:dyDescent="0.35">
      <c r="O230" s="8"/>
    </row>
    <row r="231" spans="15:15" x14ac:dyDescent="0.35">
      <c r="O231" s="8"/>
    </row>
    <row r="232" spans="15:15" x14ac:dyDescent="0.35">
      <c r="O232" s="8"/>
    </row>
    <row r="233" spans="15:15" x14ac:dyDescent="0.35">
      <c r="O233" s="8"/>
    </row>
    <row r="234" spans="15:15" x14ac:dyDescent="0.35">
      <c r="O234" s="8"/>
    </row>
    <row r="235" spans="15:15" x14ac:dyDescent="0.35">
      <c r="O235" s="8"/>
    </row>
    <row r="236" spans="15:15" x14ac:dyDescent="0.35">
      <c r="O236" s="8"/>
    </row>
    <row r="237" spans="15:15" x14ac:dyDescent="0.35">
      <c r="O237" s="8"/>
    </row>
    <row r="238" spans="15:15" x14ac:dyDescent="0.35">
      <c r="O238" s="8"/>
    </row>
    <row r="239" spans="15:15" x14ac:dyDescent="0.35">
      <c r="O239" s="8"/>
    </row>
    <row r="240" spans="15:15" x14ac:dyDescent="0.35">
      <c r="O240" s="8"/>
    </row>
    <row r="241" spans="15:15" x14ac:dyDescent="0.35">
      <c r="O241" s="8"/>
    </row>
    <row r="242" spans="15:15" x14ac:dyDescent="0.35">
      <c r="O242" s="8"/>
    </row>
    <row r="243" spans="15:15" x14ac:dyDescent="0.35">
      <c r="O243" s="8"/>
    </row>
    <row r="244" spans="15:15" x14ac:dyDescent="0.35">
      <c r="O244" s="8"/>
    </row>
    <row r="245" spans="15:15" x14ac:dyDescent="0.35">
      <c r="O245" s="8"/>
    </row>
    <row r="246" spans="15:15" x14ac:dyDescent="0.35">
      <c r="O246" s="8"/>
    </row>
    <row r="247" spans="15:15" x14ac:dyDescent="0.35">
      <c r="O247" s="8"/>
    </row>
    <row r="248" spans="15:15" x14ac:dyDescent="0.35">
      <c r="O248" s="8"/>
    </row>
    <row r="249" spans="15:15" x14ac:dyDescent="0.35">
      <c r="O249" s="8"/>
    </row>
    <row r="250" spans="15:15" x14ac:dyDescent="0.35">
      <c r="O250" s="8"/>
    </row>
    <row r="251" spans="15:15" x14ac:dyDescent="0.35">
      <c r="O251" s="8"/>
    </row>
    <row r="252" spans="15:15" x14ac:dyDescent="0.35">
      <c r="O252" s="8"/>
    </row>
    <row r="253" spans="15:15" x14ac:dyDescent="0.35">
      <c r="O253" s="8"/>
    </row>
    <row r="254" spans="15:15" x14ac:dyDescent="0.35">
      <c r="O254" s="8"/>
    </row>
    <row r="255" spans="15:15" x14ac:dyDescent="0.35">
      <c r="O255" s="8"/>
    </row>
    <row r="256" spans="15:15" x14ac:dyDescent="0.35">
      <c r="O256" s="8"/>
    </row>
    <row r="257" spans="15:15" x14ac:dyDescent="0.35">
      <c r="O257" s="8"/>
    </row>
    <row r="258" spans="15:15" x14ac:dyDescent="0.35">
      <c r="O258" s="8"/>
    </row>
    <row r="259" spans="15:15" x14ac:dyDescent="0.35">
      <c r="O259" s="8"/>
    </row>
    <row r="260" spans="15:15" x14ac:dyDescent="0.35">
      <c r="O260" s="8"/>
    </row>
    <row r="261" spans="15:15" x14ac:dyDescent="0.35">
      <c r="O261" s="8"/>
    </row>
    <row r="262" spans="15:15" x14ac:dyDescent="0.35">
      <c r="O262" s="8"/>
    </row>
    <row r="263" spans="15:15" x14ac:dyDescent="0.35">
      <c r="O263" s="8"/>
    </row>
    <row r="264" spans="15:15" x14ac:dyDescent="0.35">
      <c r="O264" s="8"/>
    </row>
    <row r="265" spans="15:15" x14ac:dyDescent="0.35">
      <c r="O265" s="8"/>
    </row>
    <row r="266" spans="15:15" x14ac:dyDescent="0.35">
      <c r="O266" s="8"/>
    </row>
    <row r="267" spans="15:15" x14ac:dyDescent="0.35">
      <c r="O267" s="8"/>
    </row>
    <row r="268" spans="15:15" x14ac:dyDescent="0.35">
      <c r="O268" s="8"/>
    </row>
    <row r="269" spans="15:15" x14ac:dyDescent="0.35">
      <c r="O269" s="8"/>
    </row>
    <row r="270" spans="15:15" x14ac:dyDescent="0.35">
      <c r="O270" s="8"/>
    </row>
    <row r="271" spans="15:15" x14ac:dyDescent="0.35">
      <c r="O271" s="8"/>
    </row>
    <row r="272" spans="15:15" x14ac:dyDescent="0.35">
      <c r="O272" s="8"/>
    </row>
    <row r="273" spans="15:15" x14ac:dyDescent="0.35">
      <c r="O273" s="8"/>
    </row>
    <row r="274" spans="15:15" x14ac:dyDescent="0.35">
      <c r="O274" s="8"/>
    </row>
    <row r="275" spans="15:15" x14ac:dyDescent="0.35">
      <c r="O275" s="8"/>
    </row>
    <row r="276" spans="15:15" x14ac:dyDescent="0.35">
      <c r="O276" s="8"/>
    </row>
    <row r="277" spans="15:15" x14ac:dyDescent="0.35">
      <c r="O277" s="8"/>
    </row>
    <row r="278" spans="15:15" x14ac:dyDescent="0.35">
      <c r="O278" s="8"/>
    </row>
    <row r="279" spans="15:15" x14ac:dyDescent="0.35">
      <c r="O279" s="8"/>
    </row>
    <row r="280" spans="15:15" x14ac:dyDescent="0.35">
      <c r="O280" s="8"/>
    </row>
    <row r="281" spans="15:15" x14ac:dyDescent="0.35">
      <c r="O281" s="8"/>
    </row>
    <row r="282" spans="15:15" x14ac:dyDescent="0.35">
      <c r="O282" s="8"/>
    </row>
    <row r="283" spans="15:15" x14ac:dyDescent="0.35">
      <c r="O283" s="8"/>
    </row>
    <row r="284" spans="15:15" x14ac:dyDescent="0.35">
      <c r="O284" s="8"/>
    </row>
    <row r="285" spans="15:15" x14ac:dyDescent="0.35">
      <c r="O285" s="8"/>
    </row>
    <row r="286" spans="15:15" x14ac:dyDescent="0.35">
      <c r="O286" s="8"/>
    </row>
    <row r="287" spans="15:15" x14ac:dyDescent="0.35">
      <c r="O287" s="8"/>
    </row>
    <row r="288" spans="15:15" x14ac:dyDescent="0.35">
      <c r="O288" s="8"/>
    </row>
    <row r="289" spans="15:15" x14ac:dyDescent="0.35">
      <c r="O289" s="8"/>
    </row>
    <row r="290" spans="15:15" x14ac:dyDescent="0.35">
      <c r="O290" s="8"/>
    </row>
    <row r="291" spans="15:15" x14ac:dyDescent="0.35">
      <c r="O291" s="8"/>
    </row>
    <row r="292" spans="15:15" x14ac:dyDescent="0.35">
      <c r="O292" s="8"/>
    </row>
    <row r="293" spans="15:15" x14ac:dyDescent="0.35">
      <c r="O293" s="8"/>
    </row>
    <row r="294" spans="15:15" x14ac:dyDescent="0.35">
      <c r="O294" s="8"/>
    </row>
    <row r="295" spans="15:15" x14ac:dyDescent="0.35">
      <c r="O295" s="8"/>
    </row>
    <row r="296" spans="15:15" x14ac:dyDescent="0.35">
      <c r="O296" s="8"/>
    </row>
    <row r="297" spans="15:15" x14ac:dyDescent="0.35">
      <c r="O297" s="8"/>
    </row>
    <row r="298" spans="15:15" x14ac:dyDescent="0.35">
      <c r="O298" s="8"/>
    </row>
    <row r="299" spans="15:15" x14ac:dyDescent="0.35">
      <c r="O299" s="8"/>
    </row>
    <row r="300" spans="15:15" x14ac:dyDescent="0.35">
      <c r="O300" s="8"/>
    </row>
    <row r="301" spans="15:15" x14ac:dyDescent="0.35">
      <c r="O301" s="8"/>
    </row>
    <row r="302" spans="15:15" x14ac:dyDescent="0.35">
      <c r="O302" s="8"/>
    </row>
    <row r="303" spans="15:15" x14ac:dyDescent="0.35">
      <c r="O303" s="8"/>
    </row>
    <row r="304" spans="15:15" x14ac:dyDescent="0.35">
      <c r="O304" s="8"/>
    </row>
    <row r="305" spans="15:15" x14ac:dyDescent="0.35">
      <c r="O305" s="8"/>
    </row>
    <row r="306" spans="15:15" x14ac:dyDescent="0.35">
      <c r="O306" s="8"/>
    </row>
    <row r="307" spans="15:15" x14ac:dyDescent="0.35">
      <c r="O307" s="8"/>
    </row>
    <row r="308" spans="15:15" x14ac:dyDescent="0.35">
      <c r="O308" s="8"/>
    </row>
    <row r="309" spans="15:15" x14ac:dyDescent="0.35">
      <c r="O309" s="8"/>
    </row>
    <row r="310" spans="15:15" x14ac:dyDescent="0.35">
      <c r="O310" s="8"/>
    </row>
    <row r="311" spans="15:15" x14ac:dyDescent="0.35">
      <c r="O311" s="8"/>
    </row>
    <row r="312" spans="15:15" x14ac:dyDescent="0.35">
      <c r="O312" s="8"/>
    </row>
    <row r="313" spans="15:15" x14ac:dyDescent="0.35">
      <c r="O313" s="8"/>
    </row>
    <row r="314" spans="15:15" x14ac:dyDescent="0.35">
      <c r="O314" s="8"/>
    </row>
    <row r="315" spans="15:15" x14ac:dyDescent="0.35">
      <c r="O315" s="8"/>
    </row>
    <row r="316" spans="15:15" x14ac:dyDescent="0.35">
      <c r="O316" s="8"/>
    </row>
    <row r="317" spans="15:15" x14ac:dyDescent="0.35">
      <c r="O317" s="8"/>
    </row>
    <row r="318" spans="15:15" x14ac:dyDescent="0.35">
      <c r="O318" s="8"/>
    </row>
    <row r="319" spans="15:15" x14ac:dyDescent="0.35">
      <c r="O319" s="8"/>
    </row>
    <row r="320" spans="15:15" x14ac:dyDescent="0.35">
      <c r="O320" s="8"/>
    </row>
    <row r="321" spans="15:15" x14ac:dyDescent="0.35">
      <c r="O321" s="8"/>
    </row>
    <row r="322" spans="15:15" x14ac:dyDescent="0.35">
      <c r="O322" s="8"/>
    </row>
    <row r="323" spans="15:15" x14ac:dyDescent="0.35">
      <c r="O323" s="8"/>
    </row>
    <row r="324" spans="15:15" x14ac:dyDescent="0.35">
      <c r="O324" s="8"/>
    </row>
    <row r="325" spans="15:15" x14ac:dyDescent="0.35">
      <c r="O325" s="8"/>
    </row>
    <row r="326" spans="15:15" x14ac:dyDescent="0.35">
      <c r="O326" s="8"/>
    </row>
    <row r="327" spans="15:15" x14ac:dyDescent="0.35">
      <c r="O327" s="8"/>
    </row>
    <row r="328" spans="15:15" x14ac:dyDescent="0.35">
      <c r="O328" s="8"/>
    </row>
    <row r="329" spans="15:15" x14ac:dyDescent="0.35">
      <c r="O329" s="8"/>
    </row>
    <row r="330" spans="15:15" x14ac:dyDescent="0.35">
      <c r="O330" s="8"/>
    </row>
    <row r="331" spans="15:15" x14ac:dyDescent="0.35">
      <c r="O331" s="8"/>
    </row>
    <row r="332" spans="15:15" x14ac:dyDescent="0.35">
      <c r="O332" s="8"/>
    </row>
    <row r="333" spans="15:15" x14ac:dyDescent="0.35">
      <c r="O333" s="8"/>
    </row>
    <row r="334" spans="15:15" x14ac:dyDescent="0.35">
      <c r="O334" s="8"/>
    </row>
    <row r="335" spans="15:15" x14ac:dyDescent="0.35">
      <c r="O335" s="8"/>
    </row>
    <row r="336" spans="15:15" x14ac:dyDescent="0.35">
      <c r="O336" s="8"/>
    </row>
    <row r="337" spans="15:15" x14ac:dyDescent="0.35">
      <c r="O337" s="8"/>
    </row>
    <row r="338" spans="15:15" x14ac:dyDescent="0.35">
      <c r="O338" s="8"/>
    </row>
    <row r="339" spans="15:15" x14ac:dyDescent="0.35">
      <c r="O339" s="8"/>
    </row>
    <row r="340" spans="15:15" x14ac:dyDescent="0.35">
      <c r="O340" s="8"/>
    </row>
    <row r="341" spans="15:15" x14ac:dyDescent="0.35">
      <c r="O341" s="8"/>
    </row>
    <row r="342" spans="15:15" x14ac:dyDescent="0.35">
      <c r="O342" s="8"/>
    </row>
    <row r="343" spans="15:15" x14ac:dyDescent="0.35">
      <c r="O343" s="8"/>
    </row>
    <row r="344" spans="15:15" x14ac:dyDescent="0.35">
      <c r="O344" s="8"/>
    </row>
    <row r="345" spans="15:15" x14ac:dyDescent="0.35">
      <c r="O345" s="8"/>
    </row>
    <row r="346" spans="15:15" x14ac:dyDescent="0.35">
      <c r="O346" s="8"/>
    </row>
    <row r="347" spans="15:15" x14ac:dyDescent="0.35">
      <c r="O347" s="8"/>
    </row>
    <row r="348" spans="15:15" x14ac:dyDescent="0.35">
      <c r="O348" s="8"/>
    </row>
    <row r="349" spans="15:15" x14ac:dyDescent="0.35">
      <c r="O349" s="8"/>
    </row>
    <row r="350" spans="15:15" x14ac:dyDescent="0.35">
      <c r="O350" s="8"/>
    </row>
    <row r="351" spans="15:15" x14ac:dyDescent="0.35">
      <c r="O351" s="8"/>
    </row>
    <row r="352" spans="15:15" x14ac:dyDescent="0.35">
      <c r="O352" s="8"/>
    </row>
    <row r="353" spans="15:15" x14ac:dyDescent="0.35">
      <c r="O353" s="8"/>
    </row>
    <row r="354" spans="15:15" x14ac:dyDescent="0.35">
      <c r="O354" s="8"/>
    </row>
    <row r="355" spans="15:15" x14ac:dyDescent="0.35">
      <c r="O355" s="8"/>
    </row>
    <row r="356" spans="15:15" x14ac:dyDescent="0.35">
      <c r="O356" s="8"/>
    </row>
    <row r="357" spans="15:15" x14ac:dyDescent="0.35">
      <c r="O357" s="8"/>
    </row>
    <row r="358" spans="15:15" x14ac:dyDescent="0.35">
      <c r="O358" s="8"/>
    </row>
    <row r="359" spans="15:15" x14ac:dyDescent="0.35">
      <c r="O359" s="8"/>
    </row>
    <row r="360" spans="15:15" x14ac:dyDescent="0.35">
      <c r="O360" s="8"/>
    </row>
    <row r="361" spans="15:15" x14ac:dyDescent="0.35">
      <c r="O361" s="8"/>
    </row>
    <row r="362" spans="15:15" x14ac:dyDescent="0.35">
      <c r="O362" s="8"/>
    </row>
    <row r="363" spans="15:15" x14ac:dyDescent="0.35">
      <c r="O363" s="8"/>
    </row>
    <row r="364" spans="15:15" x14ac:dyDescent="0.35">
      <c r="O364" s="8"/>
    </row>
    <row r="365" spans="15:15" x14ac:dyDescent="0.35">
      <c r="O365" s="8"/>
    </row>
    <row r="366" spans="15:15" x14ac:dyDescent="0.35">
      <c r="O366" s="8"/>
    </row>
    <row r="367" spans="15:15" x14ac:dyDescent="0.35">
      <c r="O367" s="8"/>
    </row>
    <row r="368" spans="15:15" x14ac:dyDescent="0.35">
      <c r="O368" s="8"/>
    </row>
    <row r="369" spans="15:15" x14ac:dyDescent="0.35">
      <c r="O369" s="8"/>
    </row>
    <row r="370" spans="15:15" x14ac:dyDescent="0.35">
      <c r="O370" s="8"/>
    </row>
    <row r="371" spans="15:15" x14ac:dyDescent="0.35">
      <c r="O371" s="8"/>
    </row>
    <row r="372" spans="15:15" x14ac:dyDescent="0.35">
      <c r="O372" s="8"/>
    </row>
    <row r="373" spans="15:15" x14ac:dyDescent="0.35">
      <c r="O373" s="8"/>
    </row>
    <row r="374" spans="15:15" x14ac:dyDescent="0.35">
      <c r="O374" s="8"/>
    </row>
    <row r="375" spans="15:15" x14ac:dyDescent="0.35">
      <c r="O375" s="8"/>
    </row>
    <row r="376" spans="15:15" x14ac:dyDescent="0.35">
      <c r="O376" s="8"/>
    </row>
    <row r="377" spans="15:15" x14ac:dyDescent="0.35">
      <c r="O377" s="8"/>
    </row>
    <row r="378" spans="15:15" x14ac:dyDescent="0.35">
      <c r="O378" s="8"/>
    </row>
    <row r="379" spans="15:15" x14ac:dyDescent="0.35">
      <c r="O379" s="8"/>
    </row>
    <row r="380" spans="15:15" x14ac:dyDescent="0.35">
      <c r="O380" s="8"/>
    </row>
    <row r="381" spans="15:15" x14ac:dyDescent="0.35">
      <c r="O381" s="8"/>
    </row>
    <row r="382" spans="15:15" x14ac:dyDescent="0.35">
      <c r="O382" s="8"/>
    </row>
    <row r="383" spans="15:15" x14ac:dyDescent="0.35">
      <c r="O383" s="8"/>
    </row>
    <row r="384" spans="15:15" x14ac:dyDescent="0.35">
      <c r="O384" s="8"/>
    </row>
    <row r="385" spans="15:15" x14ac:dyDescent="0.35">
      <c r="O385" s="8"/>
    </row>
    <row r="386" spans="15:15" x14ac:dyDescent="0.35">
      <c r="O386" s="8"/>
    </row>
    <row r="387" spans="15:15" x14ac:dyDescent="0.35">
      <c r="O387" s="8"/>
    </row>
    <row r="388" spans="15:15" x14ac:dyDescent="0.35">
      <c r="O388" s="8"/>
    </row>
    <row r="389" spans="15:15" x14ac:dyDescent="0.35">
      <c r="O389" s="8"/>
    </row>
    <row r="390" spans="15:15" x14ac:dyDescent="0.35">
      <c r="O390" s="8"/>
    </row>
    <row r="391" spans="15:15" x14ac:dyDescent="0.35">
      <c r="O391" s="8"/>
    </row>
    <row r="392" spans="15:15" x14ac:dyDescent="0.35">
      <c r="O392" s="8"/>
    </row>
    <row r="393" spans="15:15" x14ac:dyDescent="0.35">
      <c r="O393" s="8"/>
    </row>
    <row r="394" spans="15:15" x14ac:dyDescent="0.35">
      <c r="O394" s="8"/>
    </row>
    <row r="395" spans="15:15" x14ac:dyDescent="0.35">
      <c r="O395" s="8"/>
    </row>
    <row r="396" spans="15:15" x14ac:dyDescent="0.35">
      <c r="O396" s="8"/>
    </row>
    <row r="397" spans="15:15" x14ac:dyDescent="0.35">
      <c r="O397" s="8"/>
    </row>
    <row r="398" spans="15:15" x14ac:dyDescent="0.35">
      <c r="O398" s="8"/>
    </row>
    <row r="399" spans="15:15" x14ac:dyDescent="0.35">
      <c r="O399" s="8"/>
    </row>
    <row r="400" spans="15:15" x14ac:dyDescent="0.35">
      <c r="O400" s="8"/>
    </row>
    <row r="401" spans="15:15" x14ac:dyDescent="0.35">
      <c r="O401" s="8"/>
    </row>
    <row r="402" spans="15:15" x14ac:dyDescent="0.35">
      <c r="O402" s="8"/>
    </row>
    <row r="403" spans="15:15" x14ac:dyDescent="0.35">
      <c r="O403" s="8"/>
    </row>
    <row r="404" spans="15:15" x14ac:dyDescent="0.35">
      <c r="O404" s="8"/>
    </row>
    <row r="405" spans="15:15" x14ac:dyDescent="0.35">
      <c r="O405" s="8"/>
    </row>
    <row r="406" spans="15:15" x14ac:dyDescent="0.35">
      <c r="O406" s="8"/>
    </row>
    <row r="407" spans="15:15" x14ac:dyDescent="0.35">
      <c r="O407" s="8"/>
    </row>
    <row r="408" spans="15:15" x14ac:dyDescent="0.35">
      <c r="O408" s="8"/>
    </row>
    <row r="409" spans="15:15" x14ac:dyDescent="0.35">
      <c r="O409" s="8"/>
    </row>
    <row r="410" spans="15:15" x14ac:dyDescent="0.35">
      <c r="O410" s="8"/>
    </row>
    <row r="411" spans="15:15" x14ac:dyDescent="0.35">
      <c r="O411" s="8"/>
    </row>
    <row r="412" spans="15:15" x14ac:dyDescent="0.35">
      <c r="O412" s="8"/>
    </row>
    <row r="413" spans="15:15" x14ac:dyDescent="0.35">
      <c r="O413" s="8"/>
    </row>
    <row r="414" spans="15:15" x14ac:dyDescent="0.35">
      <c r="O414" s="8"/>
    </row>
    <row r="415" spans="15:15" x14ac:dyDescent="0.35">
      <c r="O415" s="8"/>
    </row>
    <row r="416" spans="15:15" x14ac:dyDescent="0.35">
      <c r="O416" s="8"/>
    </row>
    <row r="417" spans="15:15" x14ac:dyDescent="0.35">
      <c r="O417" s="8"/>
    </row>
    <row r="418" spans="15:15" x14ac:dyDescent="0.35">
      <c r="O418" s="8"/>
    </row>
  </sheetData>
  <mergeCells count="2">
    <mergeCell ref="I20:O20"/>
    <mergeCell ref="A53:G54"/>
  </mergeCells>
  <phoneticPr fontId="5" type="noConversion"/>
  <pageMargins left="0.7" right="0.7" top="0.75" bottom="0.75" header="0.3" footer="0.3"/>
  <pageSetup orientation="portrait" horizontalDpi="1200" verticalDpi="12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85743E-37AE-47C6-A734-7EF950400FDA}">
  <sheetPr>
    <tabColor rgb="FFCCECFF"/>
  </sheetPr>
  <dimension ref="B2:S47"/>
  <sheetViews>
    <sheetView topLeftCell="C6" workbookViewId="0">
      <selection activeCell="H28" sqref="H28"/>
    </sheetView>
  </sheetViews>
  <sheetFormatPr defaultRowHeight="14.5" x14ac:dyDescent="0.35"/>
  <cols>
    <col min="1" max="1" width="3.7265625" customWidth="1"/>
    <col min="2" max="2" width="11.1796875" customWidth="1"/>
    <col min="3" max="3" width="26.1796875" customWidth="1"/>
    <col min="4" max="4" width="21.7265625" customWidth="1"/>
    <col min="5" max="5" width="15.54296875" customWidth="1"/>
    <col min="6" max="6" width="19.7265625" customWidth="1"/>
    <col min="7" max="7" width="15.26953125" customWidth="1"/>
    <col min="8" max="8" width="21" customWidth="1"/>
    <col min="9" max="9" width="16.26953125" customWidth="1"/>
    <col min="10" max="10" width="20.1796875" customWidth="1"/>
    <col min="11" max="11" width="12.7265625" customWidth="1"/>
    <col min="12" max="12" width="9.81640625" customWidth="1"/>
    <col min="13" max="13" width="16.54296875" customWidth="1"/>
    <col min="14" max="16" width="15.1796875" customWidth="1"/>
    <col min="17" max="17" width="13.26953125" customWidth="1"/>
  </cols>
  <sheetData>
    <row r="2" spans="2:18" x14ac:dyDescent="0.35">
      <c r="C2" t="s">
        <v>134</v>
      </c>
    </row>
    <row r="3" spans="2:18" ht="15" thickBot="1" x14ac:dyDescent="0.4">
      <c r="D3" s="246" t="s">
        <v>135</v>
      </c>
      <c r="E3" s="246"/>
      <c r="F3" s="246"/>
      <c r="G3" s="246"/>
      <c r="H3" s="246"/>
      <c r="I3" s="246"/>
      <c r="J3" s="246"/>
      <c r="K3" s="246"/>
      <c r="L3" s="246"/>
      <c r="M3" s="246"/>
      <c r="N3" s="246"/>
      <c r="O3" s="246"/>
      <c r="P3" s="246"/>
      <c r="Q3" s="246"/>
    </row>
    <row r="4" spans="2:18" ht="15" thickBot="1" x14ac:dyDescent="0.4">
      <c r="B4" t="s">
        <v>136</v>
      </c>
      <c r="C4" t="s">
        <v>137</v>
      </c>
      <c r="D4" t="s">
        <v>138</v>
      </c>
      <c r="E4" t="s">
        <v>139</v>
      </c>
      <c r="F4" t="s">
        <v>140</v>
      </c>
      <c r="G4" t="s">
        <v>141</v>
      </c>
      <c r="H4" t="s">
        <v>142</v>
      </c>
      <c r="I4" t="s">
        <v>143</v>
      </c>
      <c r="J4" t="s">
        <v>144</v>
      </c>
      <c r="K4" t="s">
        <v>35</v>
      </c>
      <c r="M4" s="91" t="s">
        <v>36</v>
      </c>
      <c r="N4" s="200" t="s">
        <v>37</v>
      </c>
      <c r="O4" s="91" t="s">
        <v>38</v>
      </c>
      <c r="P4" s="81" t="s">
        <v>39</v>
      </c>
      <c r="Q4" t="s">
        <v>35</v>
      </c>
    </row>
    <row r="5" spans="2:18" x14ac:dyDescent="0.35">
      <c r="B5" s="80" t="s">
        <v>145</v>
      </c>
      <c r="C5" s="200" t="s">
        <v>80</v>
      </c>
      <c r="D5" s="203">
        <f>'All Blended'!S8</f>
        <v>0</v>
      </c>
      <c r="E5" s="202">
        <f>'All Blended'!R19+('All Blended'!J25*'All Blended'!R30)</f>
        <v>0.75</v>
      </c>
      <c r="F5" s="203">
        <f>E5*'All Blended'!C26</f>
        <v>3375</v>
      </c>
      <c r="G5" s="202">
        <f>'All Blended'!R30*'All Blended'!J36</f>
        <v>0.25</v>
      </c>
      <c r="H5" s="203">
        <f>G5*'All Blended'!C61</f>
        <v>375</v>
      </c>
      <c r="I5" s="202">
        <f>'All Blended'!R30</f>
        <v>0.5</v>
      </c>
      <c r="J5" s="214">
        <f>I5*('All Blended'!K5+'All Blended'!K12+'All Blended'!K7)</f>
        <v>0</v>
      </c>
      <c r="K5" s="204">
        <f>H5+F5+J5+D5</f>
        <v>3750</v>
      </c>
      <c r="L5" s="200"/>
      <c r="M5" s="220">
        <f>(E5*'All Blended'!D26)+IFERROR((D5*'All Blended'!T5/('All Blended'!T5+'All Blended'!U5)),0)</f>
        <v>2531.25</v>
      </c>
      <c r="N5" s="222">
        <f>IFERROR((D5*'All Blended'!U5/('All Blended'!T5+'All Blended'!U5)),0)+J5</f>
        <v>0</v>
      </c>
      <c r="O5" s="225">
        <f>G5*'All Blended'!C61</f>
        <v>375</v>
      </c>
      <c r="P5" s="225">
        <f>E5*'All Blended'!G26</f>
        <v>843.75</v>
      </c>
      <c r="Q5" s="215"/>
    </row>
    <row r="6" spans="2:18" x14ac:dyDescent="0.35">
      <c r="B6" s="95"/>
      <c r="C6" t="s">
        <v>81</v>
      </c>
      <c r="D6" s="41"/>
      <c r="E6" s="17">
        <f>'All Blended'!R20+('All Blended'!J26*'All Blended'!R31)</f>
        <v>0.75</v>
      </c>
      <c r="F6" s="130">
        <f>E6*'All Blended'!C27</f>
        <v>937.5</v>
      </c>
      <c r="G6" s="17">
        <f>'All Blended'!R31*'All Blended'!J37</f>
        <v>0.25</v>
      </c>
      <c r="H6" s="130">
        <f>G6*'All Blended'!C62</f>
        <v>0</v>
      </c>
      <c r="I6" s="17">
        <f>'All Blended'!R31</f>
        <v>0.5</v>
      </c>
      <c r="J6" s="216">
        <f>I6*('All Blended'!K6+'All Blended'!K13)</f>
        <v>0</v>
      </c>
      <c r="K6" s="13">
        <f>H6+F6+J6</f>
        <v>937.5</v>
      </c>
      <c r="M6" s="221">
        <f>(E6*'All Blended'!D27)</f>
        <v>703.125</v>
      </c>
      <c r="N6" s="223">
        <f>J6</f>
        <v>0</v>
      </c>
      <c r="O6" s="226">
        <f>G6*'All Blended'!C62</f>
        <v>0</v>
      </c>
      <c r="P6" s="226">
        <f>E6*'All Blended'!G27</f>
        <v>234.375</v>
      </c>
      <c r="Q6" s="208"/>
    </row>
    <row r="7" spans="2:18" x14ac:dyDescent="0.35">
      <c r="B7" s="95"/>
      <c r="C7" t="s">
        <v>83</v>
      </c>
      <c r="D7" s="41"/>
      <c r="E7" s="17">
        <f>'All Blended'!R21+('All Blended'!J27*'All Blended'!R32)</f>
        <v>0.75</v>
      </c>
      <c r="F7" s="130">
        <f>E7*'All Blended'!C28</f>
        <v>0</v>
      </c>
      <c r="G7" s="17">
        <f>'All Blended'!R32*'All Blended'!J38</f>
        <v>0.25</v>
      </c>
      <c r="H7" s="130">
        <f>G7*'All Blended'!C63</f>
        <v>0</v>
      </c>
      <c r="I7" s="17">
        <f>'All Blended'!R32</f>
        <v>0.5</v>
      </c>
      <c r="J7" s="216">
        <f>I7*'All Blended'!K14</f>
        <v>0</v>
      </c>
      <c r="K7" s="13">
        <f>H7+F7+J7</f>
        <v>0</v>
      </c>
      <c r="M7" s="221">
        <f>(E7*'All Blended'!D28)</f>
        <v>0</v>
      </c>
      <c r="N7" s="223">
        <f>J7</f>
        <v>0</v>
      </c>
      <c r="O7" s="226">
        <f>G7*'All Blended'!C63</f>
        <v>0</v>
      </c>
      <c r="P7" s="226">
        <f>E7*'All Blended'!G28</f>
        <v>0</v>
      </c>
      <c r="Q7" s="208"/>
    </row>
    <row r="8" spans="2:18" x14ac:dyDescent="0.35">
      <c r="B8" s="95"/>
      <c r="C8" t="s">
        <v>61</v>
      </c>
      <c r="D8" s="130">
        <f>'All Blended'!S11</f>
        <v>0</v>
      </c>
      <c r="E8" s="17">
        <f>'All Blended'!R22+('All Blended'!J28*'All Blended'!R33)</f>
        <v>0.75</v>
      </c>
      <c r="F8" s="130">
        <f>E8*'All Blended'!C29</f>
        <v>0</v>
      </c>
      <c r="G8" s="17">
        <f>'All Blended'!R33*'All Blended'!J39</f>
        <v>0.25</v>
      </c>
      <c r="H8" s="130">
        <f>G8*'All Blended'!C64</f>
        <v>0</v>
      </c>
      <c r="I8" s="17">
        <f>'All Blended'!R33</f>
        <v>0.5</v>
      </c>
      <c r="J8" s="216">
        <f>I8*('All Blended'!K8+'All Blended'!K15)</f>
        <v>0</v>
      </c>
      <c r="K8" s="13">
        <f>H8+F8+J8+D8</f>
        <v>0</v>
      </c>
      <c r="M8" s="221">
        <f>IFERROR((E8*'All Blended'!D29)+(D8*'All Blended'!T5/('All Blended'!T5+'All Blended'!U5)),0)</f>
        <v>0</v>
      </c>
      <c r="N8" s="223">
        <f>IFERROR((D8*'All Blended'!U5/('All Blended'!T5+'All Blended'!U5))+J8,0)</f>
        <v>0</v>
      </c>
      <c r="O8" s="226">
        <f>G8*'All Blended'!C64</f>
        <v>0</v>
      </c>
      <c r="P8" s="226">
        <f>E8*'All Blended'!G29</f>
        <v>0</v>
      </c>
      <c r="Q8" s="208"/>
    </row>
    <row r="9" spans="2:18" ht="15" thickBot="1" x14ac:dyDescent="0.4">
      <c r="B9" s="96"/>
      <c r="C9" s="170" t="s">
        <v>35</v>
      </c>
      <c r="D9" s="211">
        <f>SUM(D5:D8)</f>
        <v>0</v>
      </c>
      <c r="E9" s="210"/>
      <c r="F9" s="211">
        <f>SUM(F5:F8)</f>
        <v>4312.5</v>
      </c>
      <c r="G9" s="210"/>
      <c r="H9" s="211">
        <f>SUM(H5:H8)</f>
        <v>375</v>
      </c>
      <c r="I9" s="210"/>
      <c r="J9" s="211">
        <f>SUM(J5:J8)</f>
        <v>0</v>
      </c>
      <c r="K9" s="211">
        <f>SUM(K5:K8)</f>
        <v>4687.5</v>
      </c>
      <c r="L9" s="209"/>
      <c r="M9" s="218">
        <f>SUM(M5:M8)</f>
        <v>3234.375</v>
      </c>
      <c r="N9" s="212">
        <f>SUM(N5:N8)</f>
        <v>0</v>
      </c>
      <c r="O9" s="213">
        <f>SUM(O5:O8)</f>
        <v>375</v>
      </c>
      <c r="P9" s="213">
        <f>SUM(P5:P8)</f>
        <v>1078.125</v>
      </c>
      <c r="Q9" s="217">
        <f>M9+N9+O9+P9</f>
        <v>4687.5</v>
      </c>
    </row>
    <row r="10" spans="2:18" x14ac:dyDescent="0.35">
      <c r="B10" s="80" t="s">
        <v>146</v>
      </c>
      <c r="C10" s="200" t="s">
        <v>80</v>
      </c>
      <c r="D10" s="204">
        <f>'All Blended'!K60+'All Blended'!K61</f>
        <v>0</v>
      </c>
      <c r="E10" s="201"/>
      <c r="F10" s="201"/>
      <c r="G10" s="202">
        <f>'All Blended'!J75</f>
        <v>0.5</v>
      </c>
      <c r="H10" s="203">
        <f>'All Blended'!K75</f>
        <v>750</v>
      </c>
      <c r="I10" s="201"/>
      <c r="J10" s="201"/>
      <c r="K10" s="204">
        <f>H10+D10</f>
        <v>750</v>
      </c>
      <c r="L10" s="200"/>
      <c r="M10" s="205"/>
      <c r="N10" s="224">
        <f>D10</f>
        <v>0</v>
      </c>
      <c r="O10" s="222">
        <f>G10*'All Blended'!C61</f>
        <v>750</v>
      </c>
      <c r="P10" s="207"/>
      <c r="Q10" s="81"/>
    </row>
    <row r="11" spans="2:18" x14ac:dyDescent="0.35">
      <c r="B11" s="95"/>
      <c r="C11" t="s">
        <v>81</v>
      </c>
      <c r="D11" s="41"/>
      <c r="E11" s="68"/>
      <c r="F11" s="68"/>
      <c r="G11" s="17">
        <f>'All Blended'!J76</f>
        <v>0.5</v>
      </c>
      <c r="H11" s="130">
        <f>'All Blended'!K76</f>
        <v>0</v>
      </c>
      <c r="I11" s="68"/>
      <c r="J11" s="68"/>
      <c r="K11" s="13">
        <f t="shared" ref="K11:K13" si="0">H11+D11</f>
        <v>0</v>
      </c>
      <c r="M11" s="87"/>
      <c r="N11" s="166"/>
      <c r="O11" s="223">
        <f>G11*'All Blended'!C62</f>
        <v>0</v>
      </c>
      <c r="P11" s="82"/>
      <c r="Q11" s="208"/>
    </row>
    <row r="12" spans="2:18" x14ac:dyDescent="0.35">
      <c r="B12" s="95"/>
      <c r="C12" t="s">
        <v>147</v>
      </c>
      <c r="D12" s="130">
        <f>'All Blended'!K62</f>
        <v>0</v>
      </c>
      <c r="E12" s="68"/>
      <c r="F12" s="68"/>
      <c r="G12" s="17">
        <f>'All Blended'!J77</f>
        <v>0.5</v>
      </c>
      <c r="H12" s="130">
        <f>'All Blended'!K77</f>
        <v>0</v>
      </c>
      <c r="I12" s="68"/>
      <c r="J12" s="68"/>
      <c r="K12" s="13">
        <f t="shared" si="0"/>
        <v>0</v>
      </c>
      <c r="M12" s="87"/>
      <c r="N12" s="166">
        <f>D12</f>
        <v>0</v>
      </c>
      <c r="O12" s="223">
        <f>G12*'All Blended'!C63</f>
        <v>0</v>
      </c>
      <c r="P12" s="82"/>
      <c r="Q12" s="208"/>
      <c r="R12" s="13"/>
    </row>
    <row r="13" spans="2:18" x14ac:dyDescent="0.35">
      <c r="B13" s="95"/>
      <c r="C13" t="s">
        <v>61</v>
      </c>
      <c r="D13" s="130">
        <f>'All Blended'!K64+'All Blended'!K65</f>
        <v>0</v>
      </c>
      <c r="E13" s="68"/>
      <c r="F13" s="68"/>
      <c r="G13" s="17">
        <f>'All Blended'!J78</f>
        <v>0.5</v>
      </c>
      <c r="H13" s="130">
        <f>'All Blended'!K78</f>
        <v>0</v>
      </c>
      <c r="I13" s="68"/>
      <c r="J13" s="68"/>
      <c r="K13" s="13">
        <f t="shared" si="0"/>
        <v>0</v>
      </c>
      <c r="M13" s="87"/>
      <c r="N13" s="166">
        <f>D13</f>
        <v>0</v>
      </c>
      <c r="O13" s="223">
        <f>G13*'All Blended'!C64</f>
        <v>0</v>
      </c>
      <c r="P13" s="82"/>
      <c r="Q13" s="208"/>
    </row>
    <row r="14" spans="2:18" ht="15" thickBot="1" x14ac:dyDescent="0.4">
      <c r="B14" s="95"/>
      <c r="C14" t="s">
        <v>35</v>
      </c>
      <c r="D14" s="61">
        <f>SUM(D10:D13)</f>
        <v>0</v>
      </c>
      <c r="E14" s="68"/>
      <c r="F14" s="68"/>
      <c r="G14" s="70"/>
      <c r="H14" s="61">
        <f>SUM(H10:H13)</f>
        <v>750</v>
      </c>
      <c r="I14" s="68"/>
      <c r="J14" s="68"/>
      <c r="K14" s="61">
        <f>SUM(K10:K13)</f>
        <v>750</v>
      </c>
      <c r="L14" s="68"/>
      <c r="M14" s="87"/>
      <c r="N14" s="61">
        <f>SUM(N10:N13)</f>
        <v>0</v>
      </c>
      <c r="O14" s="87">
        <f>SUM(O10:O13)</f>
        <v>750</v>
      </c>
      <c r="P14" s="82"/>
      <c r="Q14" s="229">
        <f>M14+N14+O14+P14</f>
        <v>750</v>
      </c>
    </row>
    <row r="15" spans="2:18" x14ac:dyDescent="0.35">
      <c r="B15" s="80" t="s">
        <v>148</v>
      </c>
      <c r="C15" s="200" t="s">
        <v>80</v>
      </c>
      <c r="D15" s="203">
        <f>'All Blended'!S49+'All Blended'!S50</f>
        <v>0</v>
      </c>
      <c r="E15" s="202">
        <f>'All Blended'!R66*'All Blended'!J25</f>
        <v>0.25</v>
      </c>
      <c r="F15" s="206">
        <f>'All Blended'!C26*E15</f>
        <v>1125</v>
      </c>
      <c r="G15" s="202">
        <f>'All Blended'!R66*'All Blended'!J36</f>
        <v>0.25</v>
      </c>
      <c r="H15" s="203">
        <f>G15*'All Blended'!C61</f>
        <v>375</v>
      </c>
      <c r="I15" s="202">
        <f>'All Blended'!R66</f>
        <v>0.5</v>
      </c>
      <c r="J15" s="214">
        <f>I15*('All Blended'!K5+'All Blended'!K12+'All Blended'!K7)</f>
        <v>0</v>
      </c>
      <c r="K15" s="204">
        <f>H15+F15+J15+D15</f>
        <v>1500</v>
      </c>
      <c r="L15" s="200"/>
      <c r="M15" s="222">
        <f>E15*'All Blended'!D26</f>
        <v>843.75</v>
      </c>
      <c r="N15" s="224">
        <f>D15+J15</f>
        <v>0</v>
      </c>
      <c r="O15" s="222">
        <f>G15*'All Blended'!C61</f>
        <v>375</v>
      </c>
      <c r="P15" s="225">
        <f>E15*'All Blended'!G26</f>
        <v>281.25</v>
      </c>
      <c r="Q15" s="215"/>
    </row>
    <row r="16" spans="2:18" x14ac:dyDescent="0.35">
      <c r="B16" s="95"/>
      <c r="C16" t="s">
        <v>81</v>
      </c>
      <c r="D16" s="41"/>
      <c r="E16" s="17">
        <f>'All Blended'!R67*'All Blended'!J26</f>
        <v>0.25</v>
      </c>
      <c r="F16" s="108">
        <f>'All Blended'!C27*E16</f>
        <v>312.5</v>
      </c>
      <c r="G16" s="17">
        <f>'All Blended'!R67*'All Blended'!J37</f>
        <v>0.25</v>
      </c>
      <c r="H16" s="130">
        <f>G16*'All Blended'!C62</f>
        <v>0</v>
      </c>
      <c r="I16" s="17">
        <f>'All Blended'!R67</f>
        <v>0.5</v>
      </c>
      <c r="J16" s="216">
        <f>I16*('All Blended'!K6+'All Blended'!K13)</f>
        <v>0</v>
      </c>
      <c r="K16" s="13">
        <f t="shared" ref="K16:K17" si="1">H16+F16+J16+D16</f>
        <v>312.5</v>
      </c>
      <c r="M16" s="223">
        <f>E16*'All Blended'!D27</f>
        <v>234.375</v>
      </c>
      <c r="N16" s="166">
        <f>J16</f>
        <v>0</v>
      </c>
      <c r="O16" s="223">
        <f>G16*'All Blended'!C62</f>
        <v>0</v>
      </c>
      <c r="P16" s="226">
        <f>E16*'All Blended'!G27</f>
        <v>78.125</v>
      </c>
      <c r="Q16" s="219"/>
    </row>
    <row r="17" spans="2:19" x14ac:dyDescent="0.35">
      <c r="B17" s="95"/>
      <c r="C17" t="s">
        <v>147</v>
      </c>
      <c r="D17" s="130">
        <f>'All Blended'!S51</f>
        <v>0</v>
      </c>
      <c r="E17" s="17">
        <f>'All Blended'!R68*'All Blended'!J27</f>
        <v>0.25</v>
      </c>
      <c r="F17" s="108">
        <f>'All Blended'!C28*E17</f>
        <v>0</v>
      </c>
      <c r="G17" s="17">
        <f>'All Blended'!R68*'All Blended'!J38</f>
        <v>0.25</v>
      </c>
      <c r="H17" s="130">
        <f>G17*'All Blended'!C63</f>
        <v>0</v>
      </c>
      <c r="I17" s="17">
        <f>'All Blended'!R68</f>
        <v>0.5</v>
      </c>
      <c r="J17" s="216">
        <f>I17*'All Blended'!K14</f>
        <v>0</v>
      </c>
      <c r="K17" s="13">
        <f t="shared" si="1"/>
        <v>0</v>
      </c>
      <c r="M17" s="223">
        <f>E17*'All Blended'!D28</f>
        <v>0</v>
      </c>
      <c r="N17" s="166">
        <f>D17+J17</f>
        <v>0</v>
      </c>
      <c r="O17" s="223">
        <f>G17*'All Blended'!C63</f>
        <v>0</v>
      </c>
      <c r="P17" s="226">
        <f>E17*'All Blended'!G28</f>
        <v>0</v>
      </c>
      <c r="Q17" s="219"/>
    </row>
    <row r="18" spans="2:19" x14ac:dyDescent="0.35">
      <c r="B18" s="95"/>
      <c r="C18" t="s">
        <v>61</v>
      </c>
      <c r="D18" s="130">
        <f>'All Blended'!S53+'All Blended'!S54</f>
        <v>0</v>
      </c>
      <c r="E18" s="17">
        <f>'All Blended'!R69*'All Blended'!J28</f>
        <v>0.25</v>
      </c>
      <c r="F18" s="108">
        <f>'All Blended'!C29*E18</f>
        <v>0</v>
      </c>
      <c r="G18" s="17">
        <f>'All Blended'!R69*'All Blended'!J39</f>
        <v>0.25</v>
      </c>
      <c r="H18" s="130">
        <f>G18*'All Blended'!C64</f>
        <v>0</v>
      </c>
      <c r="I18" s="17">
        <f>'All Blended'!R69</f>
        <v>0.5</v>
      </c>
      <c r="J18" s="216">
        <f>I18*'All Blended'!K18</f>
        <v>0</v>
      </c>
      <c r="K18" s="13">
        <f>H18+F18+J18+D18</f>
        <v>0</v>
      </c>
      <c r="M18" s="223">
        <f>E18*'All Blended'!D29</f>
        <v>0</v>
      </c>
      <c r="N18" s="166">
        <f>D18+J18</f>
        <v>0</v>
      </c>
      <c r="O18" s="223">
        <f>G18*'All Blended'!C64</f>
        <v>0</v>
      </c>
      <c r="P18" s="226">
        <f>E18*'All Blended'!G29</f>
        <v>0</v>
      </c>
      <c r="Q18" s="219"/>
      <c r="S18" s="13"/>
    </row>
    <row r="19" spans="2:19" ht="15" thickBot="1" x14ac:dyDescent="0.4">
      <c r="B19" s="96"/>
      <c r="C19" s="170" t="s">
        <v>35</v>
      </c>
      <c r="D19" s="211">
        <f>SUM(D15:D18)</f>
        <v>0</v>
      </c>
      <c r="E19" s="210"/>
      <c r="F19" s="211">
        <f>SUM(F15:F18)</f>
        <v>1437.5</v>
      </c>
      <c r="G19" s="210"/>
      <c r="H19" s="211">
        <f>SUM(H15:H18)</f>
        <v>375</v>
      </c>
      <c r="I19" s="210"/>
      <c r="J19" s="211">
        <f>SUM(J15:J18)</f>
        <v>0</v>
      </c>
      <c r="K19" s="211">
        <f>SUM(K15:K18)</f>
        <v>1812.5</v>
      </c>
      <c r="L19" s="209"/>
      <c r="M19" s="212">
        <f>SUM(M15:M18)</f>
        <v>1078.125</v>
      </c>
      <c r="N19" s="211">
        <f>SUM(N15:N18)</f>
        <v>0</v>
      </c>
      <c r="O19" s="212">
        <f>SUM(O15:O18)</f>
        <v>375</v>
      </c>
      <c r="P19" s="213">
        <f>SUM(P15:P18)</f>
        <v>359.375</v>
      </c>
      <c r="Q19" s="217">
        <f>P19+O19+N19+M19</f>
        <v>1812.5</v>
      </c>
    </row>
    <row r="20" spans="2:19" ht="15" thickBot="1" x14ac:dyDescent="0.4">
      <c r="K20" s="14">
        <f>K9+K14+K19</f>
        <v>7250</v>
      </c>
      <c r="L20" t="s">
        <v>35</v>
      </c>
      <c r="M20" s="88">
        <f>M19+M14+M9</f>
        <v>4312.5</v>
      </c>
      <c r="N20" s="89">
        <f>N19+N14+N9</f>
        <v>0</v>
      </c>
      <c r="O20" s="88">
        <f>O19+O14+O9</f>
        <v>1500</v>
      </c>
      <c r="P20" s="83">
        <f>P19+P14+P9</f>
        <v>1437.5</v>
      </c>
      <c r="Q20" s="92">
        <f>M20+N20+O20+P20</f>
        <v>7250</v>
      </c>
    </row>
    <row r="21" spans="2:19" x14ac:dyDescent="0.35">
      <c r="Q21" s="13"/>
    </row>
    <row r="22" spans="2:19" ht="15" thickBot="1" x14ac:dyDescent="0.4">
      <c r="I22" s="56"/>
      <c r="J22" s="56" t="s">
        <v>149</v>
      </c>
      <c r="K22" s="56"/>
      <c r="L22" s="56"/>
      <c r="M22" s="56"/>
      <c r="N22" s="56"/>
      <c r="O22" s="56"/>
      <c r="P22" s="56"/>
      <c r="Q22" s="56"/>
    </row>
    <row r="23" spans="2:19" x14ac:dyDescent="0.35">
      <c r="J23" t="s">
        <v>136</v>
      </c>
      <c r="M23" s="91" t="s">
        <v>36</v>
      </c>
      <c r="N23" s="91" t="s">
        <v>37</v>
      </c>
      <c r="O23" s="91" t="s">
        <v>38</v>
      </c>
      <c r="P23" s="91" t="s">
        <v>39</v>
      </c>
      <c r="Q23" t="s">
        <v>35</v>
      </c>
    </row>
    <row r="24" spans="2:19" x14ac:dyDescent="0.35">
      <c r="J24" t="s">
        <v>145</v>
      </c>
      <c r="K24" t="s">
        <v>150</v>
      </c>
      <c r="M24" s="228">
        <f>'All Blended'!T42</f>
        <v>3245.1923076923076</v>
      </c>
      <c r="N24" s="228">
        <f>'All Blended'!U42</f>
        <v>0</v>
      </c>
      <c r="O24" s="228">
        <f>'All Blended'!V42</f>
        <v>360.57692307692309</v>
      </c>
      <c r="P24" s="228">
        <f>'All Blended'!W42</f>
        <v>1081.7307692307693</v>
      </c>
      <c r="Q24" s="41">
        <f>M24+N24+O24+P24</f>
        <v>4687.5</v>
      </c>
    </row>
    <row r="25" spans="2:19" x14ac:dyDescent="0.35">
      <c r="J25" t="s">
        <v>146</v>
      </c>
      <c r="K25" t="s">
        <v>150</v>
      </c>
      <c r="M25" s="87"/>
      <c r="N25" s="228">
        <f>'All Blended'!K91-'All Blended'!N91+'All Blended'!K96-'All Blended'!N96</f>
        <v>0</v>
      </c>
      <c r="O25" s="228">
        <f>'All Blended'!N91+'All Blended'!N96</f>
        <v>750</v>
      </c>
      <c r="P25" s="87"/>
      <c r="Q25" s="41">
        <f t="shared" ref="Q25:Q26" si="2">M25+N25+O25+P25</f>
        <v>750</v>
      </c>
    </row>
    <row r="26" spans="2:19" ht="15" thickBot="1" x14ac:dyDescent="0.4">
      <c r="J26" t="s">
        <v>148</v>
      </c>
      <c r="K26" t="s">
        <v>150</v>
      </c>
      <c r="M26" s="228">
        <f>'All Blended'!T82+'All Blended'!T87</f>
        <v>1087.5</v>
      </c>
      <c r="N26" s="228">
        <f>'All Blended'!S82+'All Blended'!S87-'Bld-Sep Comparison'!M26-'Bld-Sep Comparison'!O26-'Bld-Sep Comparison'!P26</f>
        <v>0</v>
      </c>
      <c r="O26" s="228">
        <f>'All Blended'!V82+'All Blended'!V87</f>
        <v>362.5</v>
      </c>
      <c r="P26" s="228">
        <f>'All Blended'!W82+'All Blended'!W87</f>
        <v>362.5</v>
      </c>
      <c r="Q26" s="41">
        <f t="shared" si="2"/>
        <v>1812.5</v>
      </c>
    </row>
    <row r="27" spans="2:19" ht="15" thickBot="1" x14ac:dyDescent="0.4">
      <c r="K27" s="84" t="s">
        <v>35</v>
      </c>
      <c r="L27" s="85"/>
      <c r="M27" s="92">
        <f>SUM(M24:M26)</f>
        <v>4332.6923076923076</v>
      </c>
      <c r="N27" s="92">
        <f>SUM(N24:N26)</f>
        <v>0</v>
      </c>
      <c r="O27" s="92">
        <f>SUM(O24:O26)</f>
        <v>1473.0769230769231</v>
      </c>
      <c r="P27" s="92">
        <f>SUM(P24:P26)</f>
        <v>1444.2307692307693</v>
      </c>
      <c r="Q27" s="90">
        <f>M27+N27+O27+P27</f>
        <v>7250</v>
      </c>
    </row>
    <row r="28" spans="2:19" ht="15" thickBot="1" x14ac:dyDescent="0.4">
      <c r="K28" s="109" t="s">
        <v>6</v>
      </c>
      <c r="M28" s="134">
        <f>'All Blended'!D24+'All Blended'!T14</f>
        <v>9000</v>
      </c>
      <c r="N28" s="134">
        <f>'All Blended'!U14+'All Blended'!M10+'All Blended'!U58+'All Blended'!M69</f>
        <v>0</v>
      </c>
      <c r="O28" s="134">
        <f>'All Blended'!F59</f>
        <v>3000</v>
      </c>
      <c r="P28" s="134">
        <f>'All Blended'!G24</f>
        <v>3000</v>
      </c>
      <c r="Q28" s="90">
        <f>M28+N28+O28+P28</f>
        <v>15000</v>
      </c>
    </row>
    <row r="30" spans="2:19" ht="15" thickBot="1" x14ac:dyDescent="0.4">
      <c r="Q30" t="s">
        <v>151</v>
      </c>
    </row>
    <row r="31" spans="2:19" ht="15" thickBot="1" x14ac:dyDescent="0.4">
      <c r="M31" s="91" t="s">
        <v>36</v>
      </c>
      <c r="N31" s="91" t="s">
        <v>37</v>
      </c>
      <c r="O31" s="91" t="s">
        <v>38</v>
      </c>
      <c r="P31" s="81" t="s">
        <v>39</v>
      </c>
    </row>
    <row r="32" spans="2:19" x14ac:dyDescent="0.35">
      <c r="L32" s="235" t="s">
        <v>6</v>
      </c>
      <c r="M32" s="97">
        <f>M28/Q28</f>
        <v>0.6</v>
      </c>
      <c r="N32" s="97">
        <f>N28/Q28</f>
        <v>0</v>
      </c>
      <c r="O32" s="97">
        <f>O28/Q28</f>
        <v>0.2</v>
      </c>
      <c r="P32" s="98">
        <f>P28/Q28</f>
        <v>0.2</v>
      </c>
      <c r="Q32" s="17">
        <f>P32+O32+N32+M32</f>
        <v>1</v>
      </c>
    </row>
    <row r="33" spans="2:17" x14ac:dyDescent="0.35">
      <c r="L33" s="236" t="s">
        <v>152</v>
      </c>
      <c r="M33" s="99">
        <f>M27/Q27</f>
        <v>0.59761273209549071</v>
      </c>
      <c r="N33" s="99">
        <f>N27/Q27</f>
        <v>0</v>
      </c>
      <c r="O33" s="99">
        <f>O27/Q27</f>
        <v>0.20318302387267906</v>
      </c>
      <c r="P33" s="100">
        <f>P27/Q27</f>
        <v>0.19920424403183024</v>
      </c>
      <c r="Q33" s="17">
        <f t="shared" ref="Q33:Q34" si="3">P33+O33+N33+M33</f>
        <v>1</v>
      </c>
    </row>
    <row r="34" spans="2:17" ht="15" thickBot="1" x14ac:dyDescent="0.4">
      <c r="L34" s="237" t="s">
        <v>153</v>
      </c>
      <c r="M34" s="101">
        <f>M20/Q20</f>
        <v>0.59482758620689657</v>
      </c>
      <c r="N34" s="101">
        <f>N20/Q20</f>
        <v>0</v>
      </c>
      <c r="O34" s="101">
        <f>O20/Q20</f>
        <v>0.20689655172413793</v>
      </c>
      <c r="P34" s="102">
        <f>P20/Q20</f>
        <v>0.19827586206896552</v>
      </c>
      <c r="Q34" s="17">
        <f t="shared" si="3"/>
        <v>1</v>
      </c>
    </row>
    <row r="43" spans="2:17" ht="15" thickBot="1" x14ac:dyDescent="0.4">
      <c r="B43" s="65" t="s">
        <v>154</v>
      </c>
      <c r="C43" s="65"/>
      <c r="D43" s="65"/>
      <c r="E43" s="65"/>
      <c r="F43" s="65"/>
    </row>
    <row r="44" spans="2:17" ht="15" thickBot="1" x14ac:dyDescent="0.4">
      <c r="C44" s="247" t="s">
        <v>155</v>
      </c>
      <c r="D44" s="248"/>
      <c r="E44" s="247" t="s">
        <v>156</v>
      </c>
      <c r="F44" s="249"/>
    </row>
    <row r="45" spans="2:17" x14ac:dyDescent="0.35">
      <c r="B45" s="80" t="s">
        <v>157</v>
      </c>
      <c r="C45" s="80" t="s">
        <v>158</v>
      </c>
      <c r="D45" s="80" t="s">
        <v>159</v>
      </c>
      <c r="E45" s="91" t="s">
        <v>158</v>
      </c>
      <c r="F45" s="91" t="s">
        <v>160</v>
      </c>
      <c r="G45" s="91" t="s">
        <v>161</v>
      </c>
    </row>
    <row r="46" spans="2:17" x14ac:dyDescent="0.35">
      <c r="B46" s="95" t="s">
        <v>10</v>
      </c>
      <c r="C46" s="104">
        <f>'All Blended'!L29</f>
        <v>2156.25</v>
      </c>
      <c r="D46" s="104">
        <f>MAX(C46/20,0)</f>
        <v>107.8125</v>
      </c>
      <c r="E46" s="86">
        <f>'All Blended'!L52</f>
        <v>2175</v>
      </c>
      <c r="F46" s="86">
        <f>MAX(E46/20,0)</f>
        <v>108.75</v>
      </c>
      <c r="G46" s="105">
        <f>F46-D46</f>
        <v>0.9375</v>
      </c>
    </row>
    <row r="47" spans="2:17" ht="15" thickBot="1" x14ac:dyDescent="0.4">
      <c r="B47" s="96" t="s">
        <v>16</v>
      </c>
      <c r="C47" s="106">
        <f>'All Blended'!N40</f>
        <v>750</v>
      </c>
      <c r="D47" s="106">
        <f>MAX(C47/20,0)</f>
        <v>37.5</v>
      </c>
      <c r="E47" s="93">
        <f>'All Blended'!N52</f>
        <v>725</v>
      </c>
      <c r="F47" s="93">
        <f>MAX(E47/20,0)</f>
        <v>36.25</v>
      </c>
      <c r="G47" s="88">
        <f>F47-D47</f>
        <v>-1.25</v>
      </c>
    </row>
  </sheetData>
  <mergeCells count="3">
    <mergeCell ref="D3:Q3"/>
    <mergeCell ref="C44:D44"/>
    <mergeCell ref="E44:F44"/>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A5C5F4-DA5A-476E-ABD2-4F0965FD9996}">
  <sheetPr>
    <tabColor rgb="FFFFFFCC"/>
  </sheetPr>
  <dimension ref="A1:AA432"/>
  <sheetViews>
    <sheetView showGridLines="0" zoomScale="80" zoomScaleNormal="80" workbookViewId="0">
      <selection activeCell="D135" sqref="D135"/>
    </sheetView>
  </sheetViews>
  <sheetFormatPr defaultRowHeight="14.5" x14ac:dyDescent="0.35"/>
  <cols>
    <col min="1" max="1" width="53.54296875" customWidth="1"/>
    <col min="2" max="2" width="1.453125" customWidth="1"/>
    <col min="3" max="3" width="14.7265625" customWidth="1"/>
    <col min="4" max="7" width="13.453125" customWidth="1"/>
    <col min="8" max="8" width="4.54296875" style="18" customWidth="1"/>
    <col min="9" max="9" width="48.54296875" customWidth="1"/>
    <col min="10" max="10" width="7.26953125" customWidth="1"/>
    <col min="11" max="11" width="14.453125" customWidth="1"/>
    <col min="12" max="14" width="13.54296875" customWidth="1"/>
    <col min="15" max="15" width="13.453125" style="18" customWidth="1"/>
    <col min="16" max="16" width="2.26953125" style="18" customWidth="1"/>
    <col min="17" max="17" width="54.7265625" customWidth="1"/>
    <col min="18" max="18" width="7" customWidth="1"/>
    <col min="19" max="21" width="16.54296875" customWidth="1"/>
    <col min="22" max="23" width="13.81640625" customWidth="1"/>
    <col min="24" max="24" width="13.7265625" customWidth="1"/>
    <col min="25" max="25" width="13" customWidth="1"/>
    <col min="26" max="26" width="14.26953125" customWidth="1"/>
    <col min="27" max="27" width="0" hidden="1" customWidth="1"/>
  </cols>
  <sheetData>
    <row r="1" spans="1:27" ht="33.75" customHeight="1" x14ac:dyDescent="0.5">
      <c r="A1" s="24" t="s">
        <v>28</v>
      </c>
      <c r="F1" s="127" t="s">
        <v>29</v>
      </c>
      <c r="G1" s="131" t="s">
        <v>30</v>
      </c>
      <c r="H1"/>
      <c r="O1"/>
      <c r="P1"/>
      <c r="AA1" t="s">
        <v>162</v>
      </c>
    </row>
    <row r="2" spans="1:27" ht="33.75" customHeight="1" x14ac:dyDescent="0.6">
      <c r="A2" s="24"/>
      <c r="C2" s="57" t="s">
        <v>31</v>
      </c>
      <c r="H2"/>
      <c r="K2" s="57" t="s">
        <v>32</v>
      </c>
      <c r="O2"/>
      <c r="P2"/>
      <c r="S2" s="57" t="s">
        <v>33</v>
      </c>
      <c r="AA2" t="s">
        <v>163</v>
      </c>
    </row>
    <row r="3" spans="1:27" ht="23.5" customHeight="1" x14ac:dyDescent="0.45">
      <c r="A3" s="116" t="s">
        <v>164</v>
      </c>
      <c r="C3" s="6" t="s">
        <v>35</v>
      </c>
      <c r="D3" s="6" t="s">
        <v>36</v>
      </c>
      <c r="E3" s="6" t="s">
        <v>37</v>
      </c>
      <c r="F3" s="6" t="s">
        <v>38</v>
      </c>
      <c r="G3" s="6" t="s">
        <v>39</v>
      </c>
      <c r="H3" s="19"/>
      <c r="I3" s="230" t="s">
        <v>40</v>
      </c>
      <c r="K3" s="6" t="s">
        <v>35</v>
      </c>
      <c r="L3" s="6" t="s">
        <v>36</v>
      </c>
      <c r="M3" s="6" t="s">
        <v>37</v>
      </c>
      <c r="N3" s="6" t="s">
        <v>38</v>
      </c>
      <c r="O3" s="6" t="s">
        <v>39</v>
      </c>
      <c r="P3" s="19"/>
      <c r="Q3" s="231" t="s">
        <v>165</v>
      </c>
      <c r="S3" s="16" t="s">
        <v>35</v>
      </c>
      <c r="T3" s="26" t="s">
        <v>36</v>
      </c>
      <c r="U3" s="26" t="s">
        <v>42</v>
      </c>
    </row>
    <row r="4" spans="1:27" ht="15" thickBot="1" x14ac:dyDescent="0.4">
      <c r="A4" s="15" t="s">
        <v>166</v>
      </c>
      <c r="C4" s="8"/>
      <c r="D4" s="8"/>
      <c r="E4" s="8"/>
      <c r="F4" s="8"/>
      <c r="G4" s="8"/>
      <c r="H4" s="21"/>
      <c r="I4" s="15" t="s">
        <v>166</v>
      </c>
      <c r="K4" s="8"/>
      <c r="M4" s="8"/>
      <c r="N4" s="8"/>
      <c r="O4" s="8"/>
      <c r="P4" s="21"/>
      <c r="Q4" t="s">
        <v>44</v>
      </c>
    </row>
    <row r="5" spans="1:27" ht="15" thickBot="1" x14ac:dyDescent="0.4">
      <c r="A5" s="4" t="s">
        <v>45</v>
      </c>
      <c r="C5" s="61">
        <f>D5+G5</f>
        <v>0</v>
      </c>
      <c r="D5" s="117"/>
      <c r="E5" s="11"/>
      <c r="F5" s="11"/>
      <c r="G5" s="142"/>
      <c r="H5" s="21"/>
      <c r="I5" s="4" t="s">
        <v>46</v>
      </c>
      <c r="K5" s="39">
        <f>M5</f>
        <v>0</v>
      </c>
      <c r="M5" s="117">
        <v>0</v>
      </c>
      <c r="N5" s="8"/>
      <c r="O5" s="8"/>
      <c r="P5" s="21"/>
      <c r="Q5" s="4" t="s">
        <v>47</v>
      </c>
      <c r="S5" s="9">
        <f>T5+U5</f>
        <v>0</v>
      </c>
      <c r="T5" s="128"/>
      <c r="U5" s="129"/>
    </row>
    <row r="6" spans="1:27" x14ac:dyDescent="0.35">
      <c r="A6" s="4" t="s">
        <v>48</v>
      </c>
      <c r="C6" s="61">
        <f t="shared" ref="C6:C7" si="0">D6+G6</f>
        <v>0</v>
      </c>
      <c r="D6" s="118">
        <v>0</v>
      </c>
      <c r="E6" s="11"/>
      <c r="F6" s="11"/>
      <c r="G6" s="157">
        <v>0</v>
      </c>
      <c r="H6" s="21"/>
      <c r="I6" s="4" t="s">
        <v>49</v>
      </c>
      <c r="K6" s="39">
        <f>M6</f>
        <v>0</v>
      </c>
      <c r="M6" s="118">
        <v>0</v>
      </c>
      <c r="N6" s="8"/>
      <c r="O6" s="8"/>
      <c r="P6" s="21"/>
      <c r="Q6" s="4" t="s">
        <v>50</v>
      </c>
      <c r="S6" s="132"/>
    </row>
    <row r="7" spans="1:27" ht="15" thickBot="1" x14ac:dyDescent="0.4">
      <c r="A7" s="4" t="s">
        <v>51</v>
      </c>
      <c r="C7" s="61">
        <f t="shared" si="0"/>
        <v>0</v>
      </c>
      <c r="D7" s="118">
        <v>0</v>
      </c>
      <c r="E7" s="11"/>
      <c r="F7" s="11"/>
      <c r="G7" s="157">
        <v>0</v>
      </c>
      <c r="H7" s="21"/>
      <c r="I7" s="4" t="s">
        <v>51</v>
      </c>
      <c r="K7" s="39">
        <f>M7</f>
        <v>0</v>
      </c>
      <c r="M7" s="118">
        <v>0</v>
      </c>
      <c r="N7" s="8"/>
      <c r="O7" s="8"/>
      <c r="P7" s="21"/>
      <c r="Q7" s="4" t="s">
        <v>52</v>
      </c>
      <c r="S7" s="134">
        <v>0</v>
      </c>
    </row>
    <row r="8" spans="1:27" ht="15" thickBot="1" x14ac:dyDescent="0.4">
      <c r="A8" s="4" t="s">
        <v>53</v>
      </c>
      <c r="C8" s="61">
        <f>D8+G8</f>
        <v>0</v>
      </c>
      <c r="D8" s="119">
        <v>0</v>
      </c>
      <c r="E8" s="11"/>
      <c r="F8" s="11"/>
      <c r="G8" s="143">
        <v>0</v>
      </c>
      <c r="H8" s="21"/>
      <c r="I8" s="4" t="s">
        <v>53</v>
      </c>
      <c r="K8" s="39">
        <f>M8</f>
        <v>0</v>
      </c>
      <c r="M8" s="119">
        <v>0</v>
      </c>
      <c r="N8" s="8"/>
      <c r="O8" s="8"/>
      <c r="P8" s="21"/>
      <c r="Q8" s="4" t="s">
        <v>54</v>
      </c>
      <c r="S8" s="12">
        <f>SUM(S5:S7)</f>
        <v>0</v>
      </c>
    </row>
    <row r="9" spans="1:27" ht="15" customHeight="1" thickBot="1" x14ac:dyDescent="0.4">
      <c r="A9" s="4" t="s">
        <v>55</v>
      </c>
      <c r="C9" s="12">
        <f>SUM(C5:C7)</f>
        <v>0</v>
      </c>
      <c r="D9" s="12">
        <f>SUM(D5:D7)</f>
        <v>0</v>
      </c>
      <c r="E9" s="108"/>
      <c r="F9" s="108"/>
      <c r="G9" s="12">
        <f>SUM(G5:G7)</f>
        <v>0</v>
      </c>
      <c r="H9" s="21"/>
      <c r="I9" s="4" t="s">
        <v>55</v>
      </c>
      <c r="K9" s="12">
        <f>SUM(K5:K7)</f>
        <v>0</v>
      </c>
      <c r="M9" s="12">
        <f>SUM(M5:M7)</f>
        <v>0</v>
      </c>
      <c r="N9" s="8"/>
      <c r="O9" s="8"/>
      <c r="P9" s="21"/>
      <c r="Q9" s="4" t="s">
        <v>56</v>
      </c>
      <c r="S9" s="12">
        <f>T9+U9</f>
        <v>0</v>
      </c>
      <c r="T9" s="128"/>
      <c r="U9" s="129"/>
    </row>
    <row r="10" spans="1:27" ht="15" customHeight="1" thickBot="1" x14ac:dyDescent="0.4">
      <c r="A10" s="4" t="s">
        <v>57</v>
      </c>
      <c r="C10" s="165">
        <f>C9+C8</f>
        <v>0</v>
      </c>
      <c r="D10" s="166">
        <f>D9+D8</f>
        <v>0</v>
      </c>
      <c r="E10" s="108"/>
      <c r="F10" s="108"/>
      <c r="G10" s="166">
        <f>G9+G8</f>
        <v>0</v>
      </c>
      <c r="H10" s="21"/>
      <c r="I10" s="4" t="s">
        <v>57</v>
      </c>
      <c r="K10" s="165">
        <f>K9+K8</f>
        <v>0</v>
      </c>
      <c r="M10" s="166">
        <f>M9+M8</f>
        <v>0</v>
      </c>
      <c r="N10" s="8"/>
      <c r="O10" s="8"/>
      <c r="P10" s="21"/>
      <c r="Q10" s="4" t="s">
        <v>58</v>
      </c>
      <c r="S10" s="136"/>
    </row>
    <row r="11" spans="1:27" ht="15" thickBot="1" x14ac:dyDescent="0.4">
      <c r="A11" s="15" t="s">
        <v>167</v>
      </c>
      <c r="C11" s="8"/>
      <c r="D11" s="8"/>
      <c r="E11" s="11"/>
      <c r="F11" s="11"/>
      <c r="G11" s="8"/>
      <c r="H11" s="21"/>
      <c r="I11" s="15" t="s">
        <v>167</v>
      </c>
      <c r="K11" s="8"/>
      <c r="M11" s="8"/>
      <c r="N11" s="8"/>
      <c r="O11" s="8"/>
      <c r="P11" s="21"/>
      <c r="Q11" s="4" t="s">
        <v>61</v>
      </c>
      <c r="S11" s="12">
        <f>S9+S10</f>
        <v>0</v>
      </c>
    </row>
    <row r="12" spans="1:27" x14ac:dyDescent="0.35">
      <c r="A12" s="4" t="s">
        <v>62</v>
      </c>
      <c r="C12" s="132"/>
      <c r="D12" s="8"/>
      <c r="E12" s="11"/>
      <c r="F12" s="11"/>
      <c r="G12" s="8"/>
      <c r="H12" s="21"/>
      <c r="I12" s="4" t="s">
        <v>63</v>
      </c>
      <c r="K12" s="132"/>
      <c r="M12" s="8"/>
      <c r="N12" s="8"/>
      <c r="O12" s="8"/>
      <c r="P12" s="21"/>
      <c r="Q12" s="4" t="s">
        <v>64</v>
      </c>
      <c r="S12" s="12">
        <f>S8+S11</f>
        <v>0</v>
      </c>
    </row>
    <row r="13" spans="1:27" x14ac:dyDescent="0.35">
      <c r="A13" s="4" t="s">
        <v>65</v>
      </c>
      <c r="C13" s="133"/>
      <c r="D13" s="8"/>
      <c r="E13" s="11"/>
      <c r="F13" s="11"/>
      <c r="G13" s="8"/>
      <c r="H13" s="21"/>
      <c r="I13" s="4" t="s">
        <v>65</v>
      </c>
      <c r="K13" s="133"/>
      <c r="M13" s="8"/>
      <c r="N13" s="8"/>
      <c r="O13" s="8"/>
      <c r="P13" s="21"/>
      <c r="Q13" s="4" t="s">
        <v>66</v>
      </c>
      <c r="S13" s="12">
        <f>S5</f>
        <v>0</v>
      </c>
      <c r="T13" s="12">
        <f>T5</f>
        <v>0</v>
      </c>
      <c r="U13" s="12">
        <f>U5</f>
        <v>0</v>
      </c>
    </row>
    <row r="14" spans="1:27" x14ac:dyDescent="0.35">
      <c r="A14" s="4" t="s">
        <v>168</v>
      </c>
      <c r="C14" s="133"/>
      <c r="D14" s="8"/>
      <c r="E14" s="11"/>
      <c r="F14" s="11"/>
      <c r="G14" s="8"/>
      <c r="H14" s="156"/>
      <c r="I14" s="4" t="s">
        <v>168</v>
      </c>
      <c r="K14" s="133"/>
      <c r="M14" s="8"/>
      <c r="N14" s="8"/>
      <c r="O14" s="8"/>
      <c r="P14" s="156"/>
      <c r="Q14" s="4" t="s">
        <v>69</v>
      </c>
      <c r="S14" s="14">
        <f>S9+S5</f>
        <v>0</v>
      </c>
      <c r="T14" s="14">
        <f>T9+T5</f>
        <v>0</v>
      </c>
      <c r="U14" s="14">
        <f>U9+U5</f>
        <v>0</v>
      </c>
    </row>
    <row r="15" spans="1:27" ht="15" thickBot="1" x14ac:dyDescent="0.4">
      <c r="A15" s="4" t="s">
        <v>70</v>
      </c>
      <c r="C15" s="134"/>
      <c r="D15" s="8"/>
      <c r="E15" s="11"/>
      <c r="F15" s="11"/>
      <c r="G15" s="8"/>
      <c r="H15" s="156"/>
      <c r="I15" s="4" t="s">
        <v>70</v>
      </c>
      <c r="K15" s="134"/>
      <c r="M15" s="8"/>
      <c r="N15" s="8"/>
      <c r="O15" s="8"/>
      <c r="P15" s="156"/>
      <c r="Q15" s="1"/>
    </row>
    <row r="16" spans="1:27" x14ac:dyDescent="0.35">
      <c r="A16" s="4" t="s">
        <v>71</v>
      </c>
      <c r="C16" s="14">
        <f>C12+C13+C14</f>
        <v>0</v>
      </c>
      <c r="D16" s="8"/>
      <c r="E16" s="11"/>
      <c r="F16" s="11"/>
      <c r="G16" s="8"/>
      <c r="H16" s="21"/>
      <c r="I16" s="4" t="s">
        <v>169</v>
      </c>
      <c r="K16" s="14">
        <f>K12+K13+K14</f>
        <v>0</v>
      </c>
      <c r="M16" s="8"/>
      <c r="N16" s="8"/>
      <c r="O16" s="8"/>
      <c r="P16" s="21"/>
      <c r="Q16" s="1" t="s">
        <v>170</v>
      </c>
      <c r="S16" s="117"/>
      <c r="T16" s="142"/>
      <c r="U16" s="117"/>
    </row>
    <row r="17" spans="1:23" ht="15" thickBot="1" x14ac:dyDescent="0.4">
      <c r="A17" s="4" t="s">
        <v>74</v>
      </c>
      <c r="C17" s="12">
        <f>C9+C16</f>
        <v>0</v>
      </c>
      <c r="D17" s="11"/>
      <c r="E17" s="11"/>
      <c r="F17" s="11"/>
      <c r="G17" s="8"/>
      <c r="H17" s="21"/>
      <c r="I17" s="4" t="s">
        <v>74</v>
      </c>
      <c r="K17" s="12">
        <f>K9+K16</f>
        <v>0</v>
      </c>
      <c r="M17" s="8"/>
      <c r="N17" s="8"/>
      <c r="O17" s="8"/>
      <c r="P17" s="21"/>
      <c r="Q17" s="1" t="s">
        <v>171</v>
      </c>
      <c r="S17" s="119"/>
      <c r="T17" s="143"/>
      <c r="U17" s="119"/>
    </row>
    <row r="18" spans="1:23" x14ac:dyDescent="0.35">
      <c r="A18" s="4" t="s">
        <v>61</v>
      </c>
      <c r="C18" s="12">
        <f>C8+C15</f>
        <v>0</v>
      </c>
      <c r="D18" s="11"/>
      <c r="E18" s="11"/>
      <c r="F18" s="11"/>
      <c r="G18" s="11"/>
      <c r="H18" s="21"/>
      <c r="I18" s="4" t="s">
        <v>76</v>
      </c>
      <c r="K18" s="12">
        <f>K8+K15</f>
        <v>0</v>
      </c>
      <c r="M18" s="8"/>
      <c r="N18" s="8"/>
      <c r="O18" s="8"/>
      <c r="P18" s="21"/>
      <c r="Q18" s="1"/>
    </row>
    <row r="19" spans="1:23" ht="15" thickBot="1" x14ac:dyDescent="0.4">
      <c r="A19" s="4" t="s">
        <v>78</v>
      </c>
      <c r="C19" s="12">
        <f>C17+C18</f>
        <v>0</v>
      </c>
      <c r="D19" s="11"/>
      <c r="E19" s="11"/>
      <c r="F19" s="11"/>
      <c r="G19" s="11"/>
      <c r="H19" s="21"/>
      <c r="I19" s="4" t="s">
        <v>172</v>
      </c>
      <c r="K19" s="12">
        <f>K17+K18</f>
        <v>0</v>
      </c>
      <c r="M19" s="8"/>
      <c r="N19" s="8"/>
      <c r="O19" s="8"/>
      <c r="P19" s="21"/>
      <c r="Q19" s="56" t="s">
        <v>73</v>
      </c>
      <c r="T19" s="23"/>
      <c r="U19" s="8"/>
    </row>
    <row r="20" spans="1:23" ht="15" thickBot="1" x14ac:dyDescent="0.4">
      <c r="A20" s="29"/>
      <c r="B20" s="29"/>
      <c r="C20" s="29"/>
      <c r="D20" s="29"/>
      <c r="E20" s="29"/>
      <c r="F20" s="29"/>
      <c r="G20" s="29"/>
      <c r="H20" s="21"/>
      <c r="I20" s="29"/>
      <c r="J20" s="29"/>
      <c r="K20" s="29"/>
      <c r="L20" s="29"/>
      <c r="M20" s="29"/>
      <c r="N20" s="29"/>
      <c r="O20" s="29"/>
      <c r="P20" s="21"/>
      <c r="Q20" s="155" t="s">
        <v>173</v>
      </c>
      <c r="R20" s="138" t="s">
        <v>163</v>
      </c>
      <c r="T20" s="23"/>
      <c r="U20" s="8"/>
    </row>
    <row r="21" spans="1:23" x14ac:dyDescent="0.35">
      <c r="A21" s="53" t="s">
        <v>82</v>
      </c>
      <c r="B21" s="8"/>
      <c r="C21" s="239"/>
      <c r="D21" s="103"/>
      <c r="E21" s="239"/>
      <c r="F21" s="239"/>
      <c r="G21" s="239"/>
      <c r="I21" s="164" t="s">
        <v>170</v>
      </c>
      <c r="J21" s="29"/>
      <c r="K21" s="162">
        <v>0</v>
      </c>
      <c r="L21" s="29"/>
      <c r="M21" s="113">
        <v>0</v>
      </c>
      <c r="N21" s="29"/>
      <c r="O21" s="29"/>
      <c r="Q21" s="15" t="s">
        <v>174</v>
      </c>
      <c r="R21" s="8" t="s">
        <v>75</v>
      </c>
      <c r="S21" s="16" t="s">
        <v>35</v>
      </c>
      <c r="T21" s="6" t="s">
        <v>36</v>
      </c>
      <c r="W21" s="6" t="s">
        <v>39</v>
      </c>
    </row>
    <row r="22" spans="1:23" ht="15" thickBot="1" x14ac:dyDescent="0.4">
      <c r="A22" s="8"/>
      <c r="B22" s="8"/>
      <c r="C22" s="8"/>
      <c r="D22" s="6" t="s">
        <v>36</v>
      </c>
      <c r="E22" s="6" t="s">
        <v>37</v>
      </c>
      <c r="F22" s="6" t="s">
        <v>38</v>
      </c>
      <c r="G22" s="6" t="s">
        <v>39</v>
      </c>
      <c r="I22" s="164" t="s">
        <v>171</v>
      </c>
      <c r="J22" s="29"/>
      <c r="K22" s="163">
        <v>0</v>
      </c>
      <c r="L22" s="29"/>
      <c r="M22" s="114">
        <v>0</v>
      </c>
      <c r="N22" s="29"/>
      <c r="O22" s="29"/>
      <c r="Q22" s="4" t="s">
        <v>6</v>
      </c>
      <c r="S22" s="41">
        <f>IFERROR(T22+W22,0)</f>
        <v>0</v>
      </c>
      <c r="T22" s="59">
        <f>IFERROR($S$31*D23,0)</f>
        <v>0</v>
      </c>
      <c r="W22" s="59">
        <f>IFERROR(S31*G23,0)</f>
        <v>0</v>
      </c>
    </row>
    <row r="23" spans="1:23" ht="15" thickBot="1" x14ac:dyDescent="0.4">
      <c r="A23" s="8" t="s">
        <v>6</v>
      </c>
      <c r="B23" s="8"/>
      <c r="C23" s="165">
        <f>C10</f>
        <v>0</v>
      </c>
      <c r="D23" s="115">
        <f>D10</f>
        <v>0</v>
      </c>
      <c r="E23" s="8"/>
      <c r="F23" s="8"/>
      <c r="G23" s="115">
        <f>G10</f>
        <v>0</v>
      </c>
      <c r="I23" s="239"/>
      <c r="J23" s="239"/>
      <c r="K23" s="239"/>
      <c r="L23" s="239"/>
      <c r="M23" s="239"/>
      <c r="N23" s="239"/>
      <c r="O23" s="239"/>
      <c r="Q23" s="4" t="s">
        <v>170</v>
      </c>
      <c r="R23" s="31"/>
      <c r="S23" s="41">
        <f t="shared" ref="S23:S24" si="1">IFERROR(T23+W23,0)</f>
        <v>0</v>
      </c>
      <c r="T23" s="59">
        <f>IFERROR($S$31*D24,0)</f>
        <v>0</v>
      </c>
      <c r="W23" s="59">
        <f>IFERROR(S32*G24,0)</f>
        <v>0</v>
      </c>
    </row>
    <row r="24" spans="1:23" ht="15" customHeight="1" thickBot="1" x14ac:dyDescent="0.4">
      <c r="A24" s="8" t="s">
        <v>170</v>
      </c>
      <c r="B24" s="8"/>
      <c r="C24" s="117">
        <v>0</v>
      </c>
      <c r="D24" s="117">
        <v>0</v>
      </c>
      <c r="E24" s="8"/>
      <c r="F24" s="8"/>
      <c r="G24" s="142">
        <v>0</v>
      </c>
      <c r="I24" s="56" t="s">
        <v>73</v>
      </c>
      <c r="J24" s="239"/>
      <c r="K24" s="239"/>
      <c r="L24" s="239"/>
      <c r="M24" s="239"/>
      <c r="N24" s="239"/>
      <c r="O24" s="239"/>
      <c r="Q24" s="4" t="s">
        <v>171</v>
      </c>
      <c r="R24" s="31"/>
      <c r="S24" s="41">
        <f t="shared" si="1"/>
        <v>0</v>
      </c>
      <c r="T24" s="59">
        <f>IFERROR($S$31*D25,0)</f>
        <v>0</v>
      </c>
      <c r="W24" s="59">
        <f>IFERROR(S33*G25,0)</f>
        <v>0</v>
      </c>
    </row>
    <row r="25" spans="1:23" ht="15" customHeight="1" thickBot="1" x14ac:dyDescent="0.4">
      <c r="A25" s="8" t="s">
        <v>171</v>
      </c>
      <c r="B25" s="8"/>
      <c r="C25" s="119">
        <v>0</v>
      </c>
      <c r="D25" s="119">
        <v>0</v>
      </c>
      <c r="E25" s="8"/>
      <c r="F25" s="8"/>
      <c r="G25" s="143">
        <v>0</v>
      </c>
      <c r="I25" s="121" t="s">
        <v>173</v>
      </c>
      <c r="J25" s="138" t="s">
        <v>162</v>
      </c>
      <c r="K25" s="8"/>
      <c r="L25" s="8"/>
      <c r="M25" s="8"/>
      <c r="N25" s="8"/>
      <c r="O25" s="8"/>
      <c r="Q25" s="4" t="s">
        <v>80</v>
      </c>
      <c r="R25" s="43">
        <f>100%-J30</f>
        <v>0.5</v>
      </c>
      <c r="S25" s="9">
        <f>R25*C28</f>
        <v>0</v>
      </c>
      <c r="T25" s="41">
        <f>R25*D28</f>
        <v>0</v>
      </c>
      <c r="W25" s="41">
        <f>R25*G28</f>
        <v>0</v>
      </c>
    </row>
    <row r="26" spans="1:23" ht="15" customHeight="1" x14ac:dyDescent="0.35">
      <c r="A26" s="8" t="s">
        <v>175</v>
      </c>
      <c r="B26" s="8"/>
      <c r="C26" s="122"/>
      <c r="D26" s="120">
        <f>COUNTIF(D23:D25,"&lt;&gt;0")</f>
        <v>0</v>
      </c>
      <c r="E26" s="8"/>
      <c r="F26" s="8"/>
      <c r="G26" s="120">
        <f>COUNTIF(G23:G25,"&lt;&gt;0")</f>
        <v>0</v>
      </c>
      <c r="I26" s="15"/>
      <c r="J26" s="8" t="s">
        <v>75</v>
      </c>
      <c r="K26" s="16" t="s">
        <v>35</v>
      </c>
      <c r="L26" s="6" t="s">
        <v>36</v>
      </c>
      <c r="M26" s="6" t="s">
        <v>37</v>
      </c>
      <c r="N26" s="6" t="s">
        <v>38</v>
      </c>
      <c r="O26" s="6" t="s">
        <v>39</v>
      </c>
      <c r="Q26" s="4" t="s">
        <v>81</v>
      </c>
      <c r="R26" s="43">
        <f>100%-J31</f>
        <v>0.5</v>
      </c>
      <c r="S26" s="9">
        <f>R26*C29</f>
        <v>0</v>
      </c>
      <c r="T26" s="39">
        <f>R26*D29</f>
        <v>0</v>
      </c>
      <c r="W26" s="39">
        <f>R26*G29</f>
        <v>0</v>
      </c>
    </row>
    <row r="27" spans="1:23" ht="15" customHeight="1" x14ac:dyDescent="0.35">
      <c r="A27" s="8" t="s">
        <v>176</v>
      </c>
      <c r="B27" s="8"/>
      <c r="C27" s="108"/>
      <c r="D27" s="40">
        <f>IFERROR(((IFERROR((D23/$C$23),0)+IFERROR((D24/$C$24),0)+IFERROR((D25/$C$25),0))/D26),0)</f>
        <v>0</v>
      </c>
      <c r="E27" s="8"/>
      <c r="F27" s="8"/>
      <c r="G27" s="40">
        <f>IFERROR(((IFERROR((G23/$C$23),0)+IFERROR((G24/$C$24),0)+IFERROR((G25/$C$25),0))/G26),0)</f>
        <v>0</v>
      </c>
      <c r="I27" s="4" t="s">
        <v>6</v>
      </c>
      <c r="J27" s="31"/>
      <c r="K27" s="145">
        <f>IFERROR(L27+O27,0)</f>
        <v>0</v>
      </c>
      <c r="L27" s="59">
        <f>IFERROR($K$36*D23,0)</f>
        <v>0</v>
      </c>
      <c r="O27" s="59">
        <f>IFERROR($K$36*G23,0)</f>
        <v>0</v>
      </c>
      <c r="Q27" s="4" t="s">
        <v>83</v>
      </c>
      <c r="R27" s="43">
        <f>100%-J32</f>
        <v>0.5</v>
      </c>
      <c r="S27" s="9">
        <f>R27*C30</f>
        <v>0</v>
      </c>
      <c r="T27" s="41">
        <f>R27*D30</f>
        <v>0</v>
      </c>
      <c r="W27" s="41">
        <f>R27*G30</f>
        <v>0</v>
      </c>
    </row>
    <row r="28" spans="1:23" ht="15" customHeight="1" x14ac:dyDescent="0.35">
      <c r="A28" s="8" t="s">
        <v>88</v>
      </c>
      <c r="B28" s="8"/>
      <c r="C28" s="12">
        <f>C5+C12+C7</f>
        <v>0</v>
      </c>
      <c r="D28" s="41">
        <f>D27*C28</f>
        <v>0</v>
      </c>
      <c r="E28" s="8"/>
      <c r="F28" s="8"/>
      <c r="G28" s="41">
        <f>G27*C28</f>
        <v>0</v>
      </c>
      <c r="I28" s="4" t="s">
        <v>170</v>
      </c>
      <c r="J28" s="31"/>
      <c r="K28" s="145">
        <f t="shared" ref="K28:K29" si="2">IFERROR(L28+O28,0)</f>
        <v>0</v>
      </c>
      <c r="L28" s="59">
        <f>IFERROR($K$36*D24,0)</f>
        <v>0</v>
      </c>
      <c r="O28" s="59">
        <f>IFERROR($K$36*G24,0)</f>
        <v>0</v>
      </c>
      <c r="Q28" s="4" t="s">
        <v>61</v>
      </c>
      <c r="R28" s="43">
        <f>100%-J33</f>
        <v>0.5</v>
      </c>
      <c r="S28" s="9">
        <f>R28*C31</f>
        <v>0</v>
      </c>
      <c r="T28" s="41">
        <f>R28*D31</f>
        <v>0</v>
      </c>
      <c r="W28" s="41">
        <f>R28*G31</f>
        <v>0</v>
      </c>
    </row>
    <row r="29" spans="1:23" ht="15" customHeight="1" thickBot="1" x14ac:dyDescent="0.4">
      <c r="A29" s="8" t="s">
        <v>89</v>
      </c>
      <c r="B29" s="8"/>
      <c r="C29" s="12">
        <f>C6+C13</f>
        <v>0</v>
      </c>
      <c r="D29" s="41">
        <f>D27*C29</f>
        <v>0</v>
      </c>
      <c r="E29" s="8"/>
      <c r="F29" s="8"/>
      <c r="G29" s="41">
        <f>G27*C29</f>
        <v>0</v>
      </c>
      <c r="H29" s="21"/>
      <c r="I29" s="4" t="s">
        <v>171</v>
      </c>
      <c r="J29" s="31"/>
      <c r="K29" s="145">
        <f t="shared" si="2"/>
        <v>0</v>
      </c>
      <c r="L29" s="59">
        <f>IFERROR($K$36*D25,0)</f>
        <v>0</v>
      </c>
      <c r="O29" s="59">
        <f>IFERROR($K$36*G25,0)</f>
        <v>0</v>
      </c>
      <c r="Q29" s="2" t="s">
        <v>84</v>
      </c>
      <c r="S29" s="12">
        <f>SUM(S25:S28)</f>
        <v>0</v>
      </c>
      <c r="T29" s="61">
        <f t="shared" ref="T29" si="3">SUM(T25:T28)</f>
        <v>0</v>
      </c>
      <c r="W29" s="61">
        <f t="shared" ref="W29" si="4">SUM(W25:W28)</f>
        <v>0</v>
      </c>
    </row>
    <row r="30" spans="1:23" ht="15" customHeight="1" x14ac:dyDescent="0.35">
      <c r="A30" s="8" t="s">
        <v>91</v>
      </c>
      <c r="B30" s="8"/>
      <c r="C30" s="14">
        <f>C14</f>
        <v>0</v>
      </c>
      <c r="D30" s="41">
        <f>D27*C30</f>
        <v>0</v>
      </c>
      <c r="E30" s="8"/>
      <c r="F30" s="8"/>
      <c r="G30" s="41">
        <f>G27*C30</f>
        <v>0</v>
      </c>
      <c r="H30" s="21"/>
      <c r="I30" s="4" t="s">
        <v>80</v>
      </c>
      <c r="J30" s="139">
        <v>0.5</v>
      </c>
      <c r="K30" s="9">
        <f>J30*C28</f>
        <v>0</v>
      </c>
      <c r="L30" s="41">
        <f>J30*D28</f>
        <v>0</v>
      </c>
      <c r="O30" s="41">
        <f>J30*G28</f>
        <v>0</v>
      </c>
      <c r="Q30" s="49" t="s">
        <v>20</v>
      </c>
      <c r="S30" s="32">
        <f>(ABS(S28)+ABS(S25)+ABS(S26)+ABS(S27))</f>
        <v>0</v>
      </c>
    </row>
    <row r="31" spans="1:23" ht="15" customHeight="1" x14ac:dyDescent="0.35">
      <c r="A31" s="8" t="s">
        <v>92</v>
      </c>
      <c r="B31" s="8"/>
      <c r="C31" s="12">
        <f>C8+C15</f>
        <v>0</v>
      </c>
      <c r="D31" s="41">
        <f>D27*C31</f>
        <v>0</v>
      </c>
      <c r="E31" s="8"/>
      <c r="F31" s="8"/>
      <c r="G31" s="41">
        <f>G27*C31</f>
        <v>0</v>
      </c>
      <c r="H31" s="21"/>
      <c r="I31" s="4" t="s">
        <v>81</v>
      </c>
      <c r="J31" s="140">
        <v>0.5</v>
      </c>
      <c r="K31" s="9">
        <f>J31*C29</f>
        <v>0</v>
      </c>
      <c r="L31" s="39">
        <f>J31*D29</f>
        <v>0</v>
      </c>
      <c r="O31" s="39">
        <f>J31*G29</f>
        <v>0</v>
      </c>
      <c r="P31" s="21"/>
      <c r="Q31" s="50" t="s">
        <v>87</v>
      </c>
      <c r="S31" s="34">
        <f>IFERROR(S30/C33,0)</f>
        <v>0</v>
      </c>
    </row>
    <row r="32" spans="1:23" x14ac:dyDescent="0.35">
      <c r="A32" s="8" t="s">
        <v>222</v>
      </c>
      <c r="B32" s="8"/>
      <c r="C32" s="12">
        <f>C28+C29+C30+C31</f>
        <v>0</v>
      </c>
      <c r="D32" s="12">
        <f>D28+D29+D30+D31</f>
        <v>0</v>
      </c>
      <c r="E32" s="130"/>
      <c r="F32" s="130"/>
      <c r="G32" s="12">
        <f>G28+G29+G30+G31</f>
        <v>0</v>
      </c>
      <c r="H32" s="21"/>
      <c r="I32" s="4" t="s">
        <v>83</v>
      </c>
      <c r="J32" s="140">
        <v>0.5</v>
      </c>
      <c r="K32" s="9">
        <f>J32*C30</f>
        <v>0</v>
      </c>
      <c r="L32" s="41">
        <f>J32*D30</f>
        <v>0</v>
      </c>
      <c r="O32" s="41">
        <f>J32*G30</f>
        <v>0</v>
      </c>
      <c r="P32" s="21"/>
      <c r="Q32" s="8"/>
      <c r="S32" s="8"/>
      <c r="T32" s="8"/>
      <c r="U32" s="8"/>
    </row>
    <row r="33" spans="1:25" ht="15" customHeight="1" thickBot="1" x14ac:dyDescent="0.4">
      <c r="A33" s="48" t="s">
        <v>24</v>
      </c>
      <c r="B33" s="8"/>
      <c r="C33" s="32">
        <f>K35+S30</f>
        <v>0</v>
      </c>
      <c r="D33" s="8"/>
      <c r="E33" s="8"/>
      <c r="F33" s="8"/>
      <c r="G33" s="8"/>
      <c r="H33" s="21"/>
      <c r="I33" s="4" t="s">
        <v>61</v>
      </c>
      <c r="J33" s="141">
        <v>0.5</v>
      </c>
      <c r="K33" s="9">
        <f>J33*C31</f>
        <v>0</v>
      </c>
      <c r="L33" s="41">
        <f>J33*D31</f>
        <v>0</v>
      </c>
      <c r="O33" s="41">
        <f>J33*G31</f>
        <v>0</v>
      </c>
      <c r="P33" s="21"/>
      <c r="Q33" s="55" t="s">
        <v>90</v>
      </c>
      <c r="R33" s="239"/>
      <c r="S33" s="239"/>
      <c r="T33" s="239"/>
      <c r="U33" s="239"/>
    </row>
    <row r="34" spans="1:25" ht="15" thickBot="1" x14ac:dyDescent="0.4">
      <c r="A34" s="8" t="s">
        <v>223</v>
      </c>
      <c r="B34" s="8"/>
      <c r="C34" s="241">
        <f>D34+E34+F34+G34</f>
        <v>0</v>
      </c>
      <c r="D34" s="242"/>
      <c r="E34" s="242"/>
      <c r="F34" s="242"/>
      <c r="G34" s="242"/>
      <c r="H34" s="21"/>
      <c r="I34" s="4" t="s">
        <v>84</v>
      </c>
      <c r="K34" s="12">
        <f>SUM(K30:K33)</f>
        <v>0</v>
      </c>
      <c r="L34" s="61">
        <f t="shared" ref="L34:O34" si="5">SUM(L30:L33)</f>
        <v>0</v>
      </c>
      <c r="O34" s="61">
        <f t="shared" si="5"/>
        <v>0</v>
      </c>
      <c r="P34" s="21"/>
      <c r="Q34" s="65" t="s">
        <v>177</v>
      </c>
      <c r="R34" s="239"/>
      <c r="S34" s="239"/>
      <c r="T34" s="239"/>
      <c r="U34" s="239"/>
    </row>
    <row r="35" spans="1:25" ht="15.75" customHeight="1" thickBot="1" x14ac:dyDescent="0.4">
      <c r="A35" s="18"/>
      <c r="B35" s="51"/>
      <c r="C35" s="51"/>
      <c r="D35" s="51"/>
      <c r="E35" s="51"/>
      <c r="F35" s="51"/>
      <c r="G35" s="51"/>
      <c r="H35" s="21"/>
      <c r="I35" s="49" t="s">
        <v>20</v>
      </c>
      <c r="K35" s="32">
        <f>(ABS(K33)+ABS(K30)+ABS(K31)+ABS(K32))</f>
        <v>0</v>
      </c>
      <c r="O35"/>
      <c r="P35" s="21"/>
      <c r="Q35" s="155" t="s">
        <v>178</v>
      </c>
      <c r="R35" s="138" t="s">
        <v>162</v>
      </c>
      <c r="S35" s="8"/>
      <c r="T35" s="8"/>
      <c r="U35" s="8"/>
    </row>
    <row r="36" spans="1:25" x14ac:dyDescent="0.35">
      <c r="A36" s="29"/>
      <c r="B36" s="28"/>
      <c r="C36" s="239"/>
      <c r="D36" s="239"/>
      <c r="E36" s="239"/>
      <c r="F36" s="239"/>
      <c r="G36" s="8"/>
      <c r="H36" s="21"/>
      <c r="I36" s="50" t="s">
        <v>87</v>
      </c>
      <c r="K36" s="123">
        <f>IFERROR(K35/C33,0)</f>
        <v>0</v>
      </c>
      <c r="O36"/>
      <c r="P36" s="21"/>
      <c r="Q36" s="15" t="s">
        <v>179</v>
      </c>
      <c r="R36" s="8" t="s">
        <v>75</v>
      </c>
      <c r="S36" s="16" t="s">
        <v>35</v>
      </c>
      <c r="T36" s="6" t="s">
        <v>36</v>
      </c>
      <c r="U36" s="6" t="s">
        <v>37</v>
      </c>
      <c r="V36" s="6" t="s">
        <v>38</v>
      </c>
      <c r="W36" s="6" t="s">
        <v>39</v>
      </c>
    </row>
    <row r="37" spans="1:25" ht="18" customHeight="1" x14ac:dyDescent="0.45">
      <c r="A37" s="116" t="s">
        <v>180</v>
      </c>
      <c r="C37" s="6" t="s">
        <v>35</v>
      </c>
      <c r="D37" s="6" t="s">
        <v>36</v>
      </c>
      <c r="E37" s="6" t="s">
        <v>37</v>
      </c>
      <c r="F37" s="6" t="s">
        <v>38</v>
      </c>
      <c r="G37" s="6" t="s">
        <v>39</v>
      </c>
      <c r="H37" s="21"/>
      <c r="O37"/>
      <c r="P37" s="21"/>
      <c r="Q37" s="4" t="s">
        <v>6</v>
      </c>
      <c r="R37" s="31"/>
      <c r="S37" s="145">
        <f>T37+U37+V37+W37</f>
        <v>0</v>
      </c>
      <c r="T37" s="59">
        <f>$S$46*L54</f>
        <v>0</v>
      </c>
      <c r="U37" s="59">
        <f t="shared" ref="T37:W39" si="6">$S$46*M54</f>
        <v>0</v>
      </c>
      <c r="V37" s="59">
        <f t="shared" si="6"/>
        <v>0</v>
      </c>
      <c r="W37" s="59">
        <f t="shared" si="6"/>
        <v>0</v>
      </c>
    </row>
    <row r="38" spans="1:25" ht="15" customHeight="1" thickBot="1" x14ac:dyDescent="0.4">
      <c r="A38" s="15" t="s">
        <v>181</v>
      </c>
      <c r="C38" s="8"/>
      <c r="E38" s="8"/>
      <c r="F38" s="8"/>
      <c r="G38" s="11"/>
      <c r="H38" s="21"/>
      <c r="I38" s="56" t="s">
        <v>94</v>
      </c>
      <c r="J38" s="239"/>
      <c r="K38" s="239"/>
      <c r="L38" s="239"/>
      <c r="M38" s="239"/>
      <c r="N38" s="239"/>
      <c r="O38" s="239"/>
      <c r="P38" s="21"/>
      <c r="Q38" s="4" t="s">
        <v>170</v>
      </c>
      <c r="R38" s="31"/>
      <c r="S38" s="145">
        <f t="shared" ref="S38:S39" si="7">T38+U38+V38+W38</f>
        <v>0</v>
      </c>
      <c r="T38" s="59">
        <f t="shared" si="6"/>
        <v>0</v>
      </c>
      <c r="U38" s="59">
        <f t="shared" si="6"/>
        <v>0</v>
      </c>
      <c r="V38" s="59">
        <f t="shared" si="6"/>
        <v>0</v>
      </c>
      <c r="W38" s="59">
        <f t="shared" si="6"/>
        <v>0</v>
      </c>
    </row>
    <row r="39" spans="1:25" ht="15" customHeight="1" thickBot="1" x14ac:dyDescent="0.4">
      <c r="A39" s="4" t="s">
        <v>45</v>
      </c>
      <c r="C39" s="39">
        <f>F39</f>
        <v>0</v>
      </c>
      <c r="E39" s="11"/>
      <c r="F39" s="117"/>
      <c r="G39" s="11"/>
      <c r="H39" s="21"/>
      <c r="I39" s="121" t="s">
        <v>173</v>
      </c>
      <c r="J39" s="138" t="s">
        <v>162</v>
      </c>
      <c r="K39" s="8"/>
      <c r="L39" s="8"/>
      <c r="M39" s="8"/>
      <c r="N39" s="8"/>
      <c r="O39" s="8"/>
      <c r="P39" s="21"/>
      <c r="Q39" s="4" t="s">
        <v>171</v>
      </c>
      <c r="R39" s="31"/>
      <c r="S39" s="145">
        <f t="shared" si="7"/>
        <v>0</v>
      </c>
      <c r="T39" s="59">
        <f t="shared" si="6"/>
        <v>0</v>
      </c>
      <c r="U39" s="59">
        <f t="shared" si="6"/>
        <v>0</v>
      </c>
      <c r="V39" s="59">
        <f t="shared" si="6"/>
        <v>0</v>
      </c>
      <c r="W39" s="59">
        <f t="shared" si="6"/>
        <v>0</v>
      </c>
    </row>
    <row r="40" spans="1:25" ht="15" customHeight="1" x14ac:dyDescent="0.35">
      <c r="A40" s="4" t="s">
        <v>48</v>
      </c>
      <c r="C40" s="39">
        <f>F40</f>
        <v>0</v>
      </c>
      <c r="E40" s="11"/>
      <c r="F40" s="118">
        <v>0</v>
      </c>
      <c r="G40" s="11"/>
      <c r="H40" s="21"/>
      <c r="I40" t="s">
        <v>182</v>
      </c>
      <c r="J40" s="8" t="s">
        <v>75</v>
      </c>
      <c r="K40" s="16" t="s">
        <v>35</v>
      </c>
      <c r="L40" s="6" t="s">
        <v>36</v>
      </c>
      <c r="M40" s="6" t="s">
        <v>37</v>
      </c>
      <c r="N40" s="6" t="s">
        <v>38</v>
      </c>
      <c r="O40" s="6" t="s">
        <v>39</v>
      </c>
      <c r="P40" s="21"/>
      <c r="Q40" s="4" t="s">
        <v>80</v>
      </c>
      <c r="R40" s="139">
        <v>0.5</v>
      </c>
      <c r="S40" s="45">
        <f>R40*K60</f>
        <v>0</v>
      </c>
      <c r="T40" s="66">
        <f>R40*L60</f>
        <v>0</v>
      </c>
      <c r="U40" s="66">
        <f>R40*M60</f>
        <v>0</v>
      </c>
      <c r="V40" s="66">
        <f t="shared" ref="V40:W43" si="8">$R$40*N60</f>
        <v>0</v>
      </c>
      <c r="W40" s="66">
        <f t="shared" si="8"/>
        <v>0</v>
      </c>
    </row>
    <row r="41" spans="1:25" ht="15" customHeight="1" x14ac:dyDescent="0.35">
      <c r="A41" s="4" t="s">
        <v>51</v>
      </c>
      <c r="C41" s="39">
        <f>F41</f>
        <v>0</v>
      </c>
      <c r="E41" s="11"/>
      <c r="F41" s="118">
        <v>0</v>
      </c>
      <c r="G41" s="11"/>
      <c r="H41" s="21"/>
      <c r="I41" s="4" t="s">
        <v>6</v>
      </c>
      <c r="J41" s="31"/>
      <c r="K41" s="145">
        <f>IFERROR(N41+O41,0)</f>
        <v>0</v>
      </c>
      <c r="M41" s="13"/>
      <c r="N41" s="59">
        <f>IFERROR($K$50*F60,0)</f>
        <v>0</v>
      </c>
      <c r="O41" s="8"/>
      <c r="P41" s="21"/>
      <c r="Q41" s="4" t="s">
        <v>81</v>
      </c>
      <c r="R41" s="140">
        <v>0.5</v>
      </c>
      <c r="S41" s="45">
        <f>R41*K61</f>
        <v>0</v>
      </c>
      <c r="T41" s="45">
        <f>R41*L61</f>
        <v>0</v>
      </c>
      <c r="U41" s="45">
        <f>R41*M61</f>
        <v>0</v>
      </c>
      <c r="V41" s="66">
        <f t="shared" si="8"/>
        <v>0</v>
      </c>
      <c r="W41" s="66">
        <f t="shared" si="8"/>
        <v>0</v>
      </c>
    </row>
    <row r="42" spans="1:25" ht="15" thickBot="1" x14ac:dyDescent="0.4">
      <c r="A42" s="4" t="s">
        <v>53</v>
      </c>
      <c r="C42" s="39">
        <f>F42</f>
        <v>0</v>
      </c>
      <c r="E42" s="11"/>
      <c r="F42" s="119">
        <v>0</v>
      </c>
      <c r="G42" s="11"/>
      <c r="I42" s="4" t="s">
        <v>170</v>
      </c>
      <c r="J42" s="31"/>
      <c r="K42" s="145">
        <f t="shared" ref="K42:K43" si="9">IFERROR(N42+O42,0)</f>
        <v>0</v>
      </c>
      <c r="M42" s="13"/>
      <c r="N42" s="59">
        <f>IFERROR($K$50*F61,0)</f>
        <v>0</v>
      </c>
      <c r="O42" s="8"/>
      <c r="P42" s="21"/>
      <c r="Q42" s="4" t="s">
        <v>183</v>
      </c>
      <c r="R42" s="140">
        <v>0.5</v>
      </c>
      <c r="S42" s="45">
        <f>R42*K62</f>
        <v>0</v>
      </c>
      <c r="T42" s="66">
        <f>R42*L62</f>
        <v>0</v>
      </c>
      <c r="U42" s="66">
        <f>R42*M62</f>
        <v>0</v>
      </c>
      <c r="V42" s="66">
        <f t="shared" si="8"/>
        <v>0</v>
      </c>
      <c r="W42" s="66">
        <f t="shared" si="8"/>
        <v>0</v>
      </c>
    </row>
    <row r="43" spans="1:25" ht="15" thickBot="1" x14ac:dyDescent="0.4">
      <c r="A43" s="4" t="s">
        <v>55</v>
      </c>
      <c r="C43" s="12">
        <f>SUM(C39:C41)</f>
        <v>0</v>
      </c>
      <c r="E43" s="11"/>
      <c r="F43" s="12">
        <f>SUM(F39:F41)</f>
        <v>0</v>
      </c>
      <c r="G43" s="11"/>
      <c r="I43" s="4" t="s">
        <v>171</v>
      </c>
      <c r="J43" s="31"/>
      <c r="K43" s="145">
        <f t="shared" si="9"/>
        <v>0</v>
      </c>
      <c r="M43" s="13"/>
      <c r="N43" s="59">
        <f>IFERROR($K$50*F62,0)</f>
        <v>0</v>
      </c>
      <c r="O43" s="8"/>
      <c r="P43" s="21"/>
      <c r="Q43" s="4" t="s">
        <v>184</v>
      </c>
      <c r="R43" s="141">
        <v>0.5</v>
      </c>
      <c r="S43" s="45">
        <f>R43*K63</f>
        <v>0</v>
      </c>
      <c r="T43" s="66">
        <f>R43*L63</f>
        <v>0</v>
      </c>
      <c r="U43" s="66">
        <f>R43*M63</f>
        <v>0</v>
      </c>
      <c r="V43" s="66">
        <f t="shared" si="8"/>
        <v>0</v>
      </c>
      <c r="W43" s="66">
        <f t="shared" si="8"/>
        <v>0</v>
      </c>
    </row>
    <row r="44" spans="1:25" x14ac:dyDescent="0.35">
      <c r="A44" s="4" t="s">
        <v>57</v>
      </c>
      <c r="C44" s="165">
        <f>C43+C42</f>
        <v>0</v>
      </c>
      <c r="E44" s="11"/>
      <c r="F44" s="166">
        <f>F43+F42</f>
        <v>0</v>
      </c>
      <c r="G44" s="11"/>
      <c r="I44" s="4" t="s">
        <v>80</v>
      </c>
      <c r="J44" s="139">
        <v>0.5</v>
      </c>
      <c r="K44" s="9">
        <f>J44*C65</f>
        <v>0</v>
      </c>
      <c r="M44" s="13"/>
      <c r="N44" s="41">
        <f>J44*F65</f>
        <v>0</v>
      </c>
      <c r="O44" s="8"/>
      <c r="Q44" s="4" t="s">
        <v>185</v>
      </c>
      <c r="S44" s="161">
        <f>SUM(S40:S43)</f>
        <v>0</v>
      </c>
      <c r="T44" s="144">
        <f>SUM(T40:T43)</f>
        <v>0</v>
      </c>
      <c r="U44" s="144">
        <f t="shared" ref="U44:W44" si="10">SUM(U40:U43)</f>
        <v>0</v>
      </c>
      <c r="V44" s="144">
        <f t="shared" si="10"/>
        <v>0</v>
      </c>
      <c r="W44" s="144">
        <f t="shared" si="10"/>
        <v>0</v>
      </c>
    </row>
    <row r="45" spans="1:25" ht="15" thickBot="1" x14ac:dyDescent="0.4">
      <c r="A45" s="15" t="s">
        <v>100</v>
      </c>
      <c r="C45" s="8"/>
      <c r="E45" s="11"/>
      <c r="F45" s="8"/>
      <c r="G45" s="11"/>
      <c r="I45" s="4" t="s">
        <v>81</v>
      </c>
      <c r="J45" s="140">
        <v>0.5</v>
      </c>
      <c r="K45" s="9">
        <f>J45*C66</f>
        <v>0</v>
      </c>
      <c r="M45" s="13"/>
      <c r="N45" s="39">
        <f>J45*F66</f>
        <v>0</v>
      </c>
      <c r="O45" s="8"/>
      <c r="Q45" s="49" t="s">
        <v>20</v>
      </c>
      <c r="S45" s="32">
        <f>(ABS(S43)+ABS(S40)+ABS(S41)+ABS(S42))</f>
        <v>0</v>
      </c>
    </row>
    <row r="46" spans="1:25" x14ac:dyDescent="0.35">
      <c r="A46" s="4" t="s">
        <v>62</v>
      </c>
      <c r="C46" s="132"/>
      <c r="E46" s="11"/>
      <c r="F46" s="8"/>
      <c r="G46" s="11"/>
      <c r="I46" s="4" t="s">
        <v>83</v>
      </c>
      <c r="J46" s="140">
        <v>0.5</v>
      </c>
      <c r="K46" s="9">
        <f>J46*C67</f>
        <v>0</v>
      </c>
      <c r="M46" s="13"/>
      <c r="N46" s="41">
        <f>J46*F67</f>
        <v>0</v>
      </c>
      <c r="O46" s="8"/>
      <c r="Q46" s="50" t="s">
        <v>87</v>
      </c>
      <c r="S46" s="34">
        <f>IFERROR(S45/K59,0)</f>
        <v>0</v>
      </c>
    </row>
    <row r="47" spans="1:25" ht="15" thickBot="1" x14ac:dyDescent="0.4">
      <c r="A47" s="4" t="s">
        <v>65</v>
      </c>
      <c r="C47" s="133">
        <v>0</v>
      </c>
      <c r="E47" s="11"/>
      <c r="F47" s="8"/>
      <c r="G47" s="11"/>
      <c r="I47" s="4" t="s">
        <v>61</v>
      </c>
      <c r="J47" s="141">
        <v>0.5</v>
      </c>
      <c r="K47" s="9">
        <f>J47*C68</f>
        <v>0</v>
      </c>
      <c r="M47" s="13"/>
      <c r="N47" s="41">
        <f>J47*F68</f>
        <v>0</v>
      </c>
      <c r="O47" s="8"/>
      <c r="Q47" s="56" t="s">
        <v>186</v>
      </c>
      <c r="S47" s="125"/>
    </row>
    <row r="48" spans="1:25" ht="15" thickBot="1" x14ac:dyDescent="0.4">
      <c r="A48" s="4" t="s">
        <v>168</v>
      </c>
      <c r="C48" s="133">
        <v>0</v>
      </c>
      <c r="E48" s="11"/>
      <c r="F48" s="8"/>
      <c r="G48" s="11"/>
      <c r="I48" s="4" t="s">
        <v>84</v>
      </c>
      <c r="K48" s="12">
        <f>SUM(K44:K47)</f>
        <v>0</v>
      </c>
      <c r="M48" s="13"/>
      <c r="N48" s="61">
        <f>SUM(N44:N47)</f>
        <v>0</v>
      </c>
      <c r="O48" s="8"/>
      <c r="Q48" t="s">
        <v>187</v>
      </c>
      <c r="R48" s="138" t="s">
        <v>163</v>
      </c>
      <c r="S48" s="125"/>
      <c r="Y48" s="13"/>
    </row>
    <row r="49" spans="1:24" ht="15" thickBot="1" x14ac:dyDescent="0.4">
      <c r="A49" s="4" t="s">
        <v>70</v>
      </c>
      <c r="C49" s="134">
        <v>0</v>
      </c>
      <c r="E49" s="11"/>
      <c r="F49" s="8"/>
      <c r="G49" s="11"/>
      <c r="I49" s="49" t="s">
        <v>20</v>
      </c>
      <c r="K49" s="32">
        <f>(ABS(K47)+ABS(K44)+ABS(K45)+ABS(K46))</f>
        <v>0</v>
      </c>
      <c r="M49" s="13"/>
      <c r="O49"/>
      <c r="Q49" s="4" t="s">
        <v>80</v>
      </c>
      <c r="R49" s="139">
        <v>0.95</v>
      </c>
      <c r="S49" s="9">
        <f>IF($J$25="Yes",R49*K30,0)</f>
        <v>0</v>
      </c>
      <c r="T49" s="41">
        <f>IF($J$25="Yes",L30*R49,0)</f>
        <v>0</v>
      </c>
      <c r="U49" s="13"/>
      <c r="W49" s="41">
        <f>IF($J$25="Yes",O30*R49,0)</f>
        <v>0</v>
      </c>
    </row>
    <row r="50" spans="1:24" x14ac:dyDescent="0.35">
      <c r="A50" s="4" t="s">
        <v>71</v>
      </c>
      <c r="C50" s="14">
        <f>C46+C47+C48</f>
        <v>0</v>
      </c>
      <c r="E50" s="11"/>
      <c r="F50" s="8"/>
      <c r="G50" s="11"/>
      <c r="I50" s="50" t="s">
        <v>87</v>
      </c>
      <c r="K50" s="34">
        <f>IFERROR(K49/C70,0)</f>
        <v>0</v>
      </c>
      <c r="O50"/>
      <c r="Q50" s="4" t="s">
        <v>81</v>
      </c>
      <c r="R50" s="140">
        <v>0.5</v>
      </c>
      <c r="S50" s="9">
        <f t="shared" ref="S50:S52" si="11">IF($J$25="Yes",R50*K31,0)</f>
        <v>0</v>
      </c>
      <c r="T50" s="41">
        <f t="shared" ref="T50:T52" si="12">IF($J$25="Yes",L31*R50,0)</f>
        <v>0</v>
      </c>
      <c r="U50" s="13"/>
      <c r="W50" s="41">
        <f t="shared" ref="W50:W51" si="13">IF($J$25="Yes",O31*R50,0)</f>
        <v>0</v>
      </c>
    </row>
    <row r="51" spans="1:24" x14ac:dyDescent="0.35">
      <c r="A51" s="4" t="s">
        <v>74</v>
      </c>
      <c r="C51" s="12">
        <f>C43+C50</f>
        <v>0</v>
      </c>
      <c r="D51" s="11"/>
      <c r="E51" s="11"/>
      <c r="F51" s="8"/>
      <c r="G51" s="11"/>
      <c r="I51" s="4"/>
      <c r="O51"/>
      <c r="Q51" s="4" t="s">
        <v>83</v>
      </c>
      <c r="R51" s="140">
        <v>0.5</v>
      </c>
      <c r="S51" s="9">
        <f t="shared" si="11"/>
        <v>0</v>
      </c>
      <c r="T51" s="41">
        <f t="shared" si="12"/>
        <v>0</v>
      </c>
      <c r="U51" s="13"/>
      <c r="W51" s="41">
        <f t="shared" si="13"/>
        <v>0</v>
      </c>
      <c r="X51" s="94"/>
    </row>
    <row r="52" spans="1:24" ht="15" thickBot="1" x14ac:dyDescent="0.4">
      <c r="A52" s="4" t="s">
        <v>76</v>
      </c>
      <c r="C52" s="12">
        <f>C42+C49</f>
        <v>0</v>
      </c>
      <c r="D52" s="11"/>
      <c r="E52" s="11"/>
      <c r="F52" s="11"/>
      <c r="G52" s="11"/>
      <c r="I52" s="54" t="s">
        <v>82</v>
      </c>
      <c r="O52"/>
      <c r="Q52" s="4" t="s">
        <v>61</v>
      </c>
      <c r="R52" s="141">
        <v>0.5</v>
      </c>
      <c r="S52" s="9">
        <f t="shared" si="11"/>
        <v>0</v>
      </c>
      <c r="T52" s="41">
        <f t="shared" si="12"/>
        <v>0</v>
      </c>
      <c r="U52" s="13"/>
      <c r="W52" s="41">
        <f>IF($J$25="Yes",O33*R52,0)</f>
        <v>0</v>
      </c>
    </row>
    <row r="53" spans="1:24" x14ac:dyDescent="0.35">
      <c r="A53" s="4" t="s">
        <v>78</v>
      </c>
      <c r="C53" s="12">
        <f>C51+C52</f>
        <v>0</v>
      </c>
      <c r="D53" s="11"/>
      <c r="E53" s="11"/>
      <c r="F53" s="11"/>
      <c r="G53" s="11"/>
      <c r="K53" s="44" t="s">
        <v>35</v>
      </c>
      <c r="L53" s="112" t="s">
        <v>36</v>
      </c>
      <c r="M53" s="112" t="s">
        <v>37</v>
      </c>
      <c r="N53" s="112" t="s">
        <v>38</v>
      </c>
      <c r="O53" s="112" t="s">
        <v>39</v>
      </c>
      <c r="R53" s="31"/>
      <c r="S53" s="111">
        <f>SUM(S49:S52)</f>
        <v>0</v>
      </c>
      <c r="T53" s="111">
        <f>SUM(T49:T52)</f>
        <v>0</v>
      </c>
      <c r="W53" s="111">
        <f>SUM(W49:W52)</f>
        <v>0</v>
      </c>
    </row>
    <row r="54" spans="1:24" x14ac:dyDescent="0.35">
      <c r="A54" s="29"/>
      <c r="B54" s="29"/>
      <c r="C54" s="29"/>
      <c r="D54" s="29"/>
      <c r="E54" s="29"/>
      <c r="F54" s="29"/>
      <c r="G54" s="29"/>
      <c r="I54" s="115" t="s">
        <v>188</v>
      </c>
      <c r="J54" s="8"/>
      <c r="K54" s="165">
        <f>SUM(L54:O54)</f>
        <v>0</v>
      </c>
      <c r="L54" s="166">
        <f>IF($J$25="Yes",0,L27)</f>
        <v>0</v>
      </c>
      <c r="M54" s="166">
        <f>M10</f>
        <v>0</v>
      </c>
      <c r="N54" s="166">
        <f>IF($J$39="Yes",0,N41)</f>
        <v>0</v>
      </c>
      <c r="O54" s="166">
        <f>IF($J$25="Yes",0,O27)</f>
        <v>0</v>
      </c>
      <c r="Q54" s="49" t="s">
        <v>20</v>
      </c>
      <c r="S54" s="32">
        <f>(ABS(S52)+ABS(S49)+ABS(S50)+ABS(S51))</f>
        <v>0</v>
      </c>
    </row>
    <row r="55" spans="1:24" x14ac:dyDescent="0.35">
      <c r="A55" s="29"/>
      <c r="B55" s="29"/>
      <c r="C55" s="29"/>
      <c r="D55" s="29"/>
      <c r="E55" s="29"/>
      <c r="F55" s="29"/>
      <c r="G55" s="29"/>
      <c r="I55" s="115" t="s">
        <v>189</v>
      </c>
      <c r="J55" s="8"/>
      <c r="K55" s="165">
        <f>IF($J$25="Yes",0,K28)+IF($J$39="Yes",0,K42)+K21</f>
        <v>0</v>
      </c>
      <c r="L55" s="166">
        <f>IF($J$25="Yes",0,L28)</f>
        <v>0</v>
      </c>
      <c r="M55" s="166">
        <f>M21</f>
        <v>0</v>
      </c>
      <c r="N55" s="166">
        <f>IF($J$39="Yes",0,N42)</f>
        <v>0</v>
      </c>
      <c r="O55" s="166">
        <f>IF($J$25="Yes",0,O28)</f>
        <v>0</v>
      </c>
      <c r="Q55" s="50" t="s">
        <v>87</v>
      </c>
      <c r="R55" s="31"/>
      <c r="S55" s="34">
        <f>IFERROR(S54/K66,0)</f>
        <v>0</v>
      </c>
    </row>
    <row r="56" spans="1:24" x14ac:dyDescent="0.35">
      <c r="A56" s="239"/>
      <c r="B56" s="239"/>
      <c r="C56" s="239"/>
      <c r="D56" s="239"/>
      <c r="E56" s="239"/>
      <c r="F56" s="239"/>
      <c r="G56" s="239"/>
      <c r="I56" s="115" t="s">
        <v>190</v>
      </c>
      <c r="J56" s="8"/>
      <c r="K56" s="165">
        <f>IF($J$25="Yes",0,K29)+IF($J$39="Yes",0,K43)+K22</f>
        <v>0</v>
      </c>
      <c r="L56" s="166">
        <f>IF($J$25="Yes",0,L29)</f>
        <v>0</v>
      </c>
      <c r="M56" s="166">
        <f>M22</f>
        <v>0</v>
      </c>
      <c r="N56" s="166">
        <f>IF($J$39="Yes",0,N43)</f>
        <v>0</v>
      </c>
      <c r="O56" s="166">
        <f>IF($J$25="Yes",0,O29)</f>
        <v>0</v>
      </c>
      <c r="Q56" s="4" t="s">
        <v>6</v>
      </c>
      <c r="R56" s="31"/>
      <c r="S56" s="145">
        <f>IF($J$25="Yes",S55*K27,0)</f>
        <v>0</v>
      </c>
      <c r="T56" s="115">
        <f>IF($J$25="Yes",S55*L27,0)</f>
        <v>0</v>
      </c>
      <c r="W56" s="115">
        <f>IF($J$25="Yes",$S$55*O27,0)</f>
        <v>0</v>
      </c>
    </row>
    <row r="57" spans="1:24" x14ac:dyDescent="0.35">
      <c r="A57" s="53" t="s">
        <v>82</v>
      </c>
      <c r="B57" s="8"/>
      <c r="C57" s="239"/>
      <c r="D57" s="239"/>
      <c r="E57" s="239"/>
      <c r="F57" s="239"/>
      <c r="G57" s="239"/>
      <c r="I57" s="45" t="s">
        <v>175</v>
      </c>
      <c r="J57" s="8"/>
      <c r="K57" s="8"/>
      <c r="L57" s="146">
        <f t="shared" ref="L57:O57" si="14">COUNTIF(L54:L56,"&lt;&gt;0")</f>
        <v>0</v>
      </c>
      <c r="M57" s="146">
        <f t="shared" si="14"/>
        <v>0</v>
      </c>
      <c r="N57" s="146">
        <f>COUNTIF(N54:N56,"&lt;&gt;0")</f>
        <v>0</v>
      </c>
      <c r="O57" s="146">
        <f t="shared" si="14"/>
        <v>0</v>
      </c>
      <c r="Q57" s="4" t="s">
        <v>170</v>
      </c>
      <c r="R57" s="31"/>
      <c r="S57" s="145">
        <f>IF($J$25="Yes",S55*K28,0)</f>
        <v>0</v>
      </c>
      <c r="T57" s="115">
        <f>IF($J$25="Yes",S55*L28,0)</f>
        <v>0</v>
      </c>
      <c r="W57" s="115">
        <f t="shared" ref="W57:W58" si="15">IF($J$25="Yes",$S$55*O28,0)</f>
        <v>0</v>
      </c>
      <c r="X57" s="17"/>
    </row>
    <row r="58" spans="1:24" x14ac:dyDescent="0.35">
      <c r="A58" s="239"/>
      <c r="B58" s="239"/>
      <c r="C58" s="239"/>
      <c r="D58" s="239"/>
      <c r="E58" s="239"/>
      <c r="F58" s="239"/>
      <c r="G58" s="239"/>
      <c r="I58" s="45" t="s">
        <v>191</v>
      </c>
      <c r="J58" s="8"/>
      <c r="K58" s="8"/>
      <c r="L58" s="147">
        <f>IFERROR(((IFERROR((L54/$K$54),0)+IFERROR((L55/$K$55),0)+IFERROR((L56/$K$56),0))/L57),0)</f>
        <v>0</v>
      </c>
      <c r="M58" s="147">
        <f>IFERROR(((IFERROR((M54/$K$54),0)+IFERROR((M55/$K$55),0)+IFERROR((M56/$K$56),0))/M57),0)</f>
        <v>0</v>
      </c>
      <c r="N58" s="147">
        <f>IFERROR(((IFERROR((N54/$K$54),0)+IFERROR((N55/$K$55),0)+IFERROR((N56/$K$56),0))/$N$57),0)</f>
        <v>0</v>
      </c>
      <c r="O58" s="147">
        <f>IFERROR(((IFERROR((O54/$K$54),0)+IFERROR((O55/$K$55),0)+IFERROR((O56/$K$56),0))/$O$57),0)</f>
        <v>0</v>
      </c>
      <c r="Q58" s="4" t="s">
        <v>171</v>
      </c>
      <c r="R58" s="31"/>
      <c r="S58" s="145">
        <f>IF($J$25="Yes",S55*K29,0)</f>
        <v>0</v>
      </c>
      <c r="T58" s="115">
        <f>IF($J$25="Yes",S55*L29,0)</f>
        <v>0</v>
      </c>
      <c r="W58" s="115">
        <f t="shared" si="15"/>
        <v>0</v>
      </c>
    </row>
    <row r="59" spans="1:24" ht="15" thickBot="1" x14ac:dyDescent="0.4">
      <c r="A59" s="8"/>
      <c r="B59" s="8"/>
      <c r="C59" s="8"/>
      <c r="D59" s="6" t="s">
        <v>36</v>
      </c>
      <c r="E59" s="6" t="s">
        <v>37</v>
      </c>
      <c r="F59" s="6" t="s">
        <v>38</v>
      </c>
      <c r="G59" s="6" t="s">
        <v>39</v>
      </c>
      <c r="I59" s="48" t="s">
        <v>24</v>
      </c>
      <c r="J59" s="8"/>
      <c r="K59" s="32">
        <f>S45+S123</f>
        <v>0</v>
      </c>
      <c r="L59" s="148"/>
      <c r="M59" s="148"/>
      <c r="N59" s="148"/>
      <c r="O59" s="148"/>
      <c r="Q59" s="56" t="s">
        <v>192</v>
      </c>
      <c r="S59" s="125"/>
    </row>
    <row r="60" spans="1:24" ht="15" thickBot="1" x14ac:dyDescent="0.4">
      <c r="A60" s="8" t="s">
        <v>6</v>
      </c>
      <c r="B60" s="8"/>
      <c r="C60" s="165">
        <f>C44</f>
        <v>0</v>
      </c>
      <c r="E60" s="8"/>
      <c r="F60" s="115">
        <f>F44</f>
        <v>0</v>
      </c>
      <c r="G60" s="239"/>
      <c r="I60" s="45" t="s">
        <v>193</v>
      </c>
      <c r="J60" s="8"/>
      <c r="K60" s="144">
        <f>K5+K7+K12+IF($J$25="Yes",0,K30)+IF($J$39="Yes",0,K44)</f>
        <v>0</v>
      </c>
      <c r="L60" s="167">
        <f>L58*K60</f>
        <v>0</v>
      </c>
      <c r="M60" s="167">
        <f>M58*K60</f>
        <v>0</v>
      </c>
      <c r="N60" s="167">
        <f>N58*K60</f>
        <v>0</v>
      </c>
      <c r="O60" s="167">
        <f>O58*K60</f>
        <v>0</v>
      </c>
      <c r="Q60" t="s">
        <v>194</v>
      </c>
      <c r="R60" s="138" t="s">
        <v>162</v>
      </c>
      <c r="S60" s="125"/>
    </row>
    <row r="61" spans="1:24" x14ac:dyDescent="0.35">
      <c r="A61" s="8" t="s">
        <v>170</v>
      </c>
      <c r="B61" s="8"/>
      <c r="C61" s="117">
        <v>0</v>
      </c>
      <c r="E61" s="8"/>
      <c r="F61" s="117">
        <v>0</v>
      </c>
      <c r="I61" s="45" t="s">
        <v>195</v>
      </c>
      <c r="J61" s="8"/>
      <c r="K61" s="144">
        <f>K6+K13+IF($J$25="Yes",0,K31)+IF($J$39="Yes",0,K45)</f>
        <v>0</v>
      </c>
      <c r="L61" s="167">
        <f>L58*K61</f>
        <v>0</v>
      </c>
      <c r="M61" s="167">
        <f>M58*K61</f>
        <v>0</v>
      </c>
      <c r="N61" s="167">
        <f>N58*K61</f>
        <v>0</v>
      </c>
      <c r="O61" s="167">
        <f>O58*K61</f>
        <v>0</v>
      </c>
      <c r="Q61" s="4" t="s">
        <v>80</v>
      </c>
      <c r="R61" s="139">
        <v>0.5</v>
      </c>
      <c r="S61" s="9">
        <f>V61</f>
        <v>0</v>
      </c>
      <c r="V61" s="41">
        <f>IF($J$39="Yes",N44*R61,0)</f>
        <v>0</v>
      </c>
    </row>
    <row r="62" spans="1:24" ht="15" thickBot="1" x14ac:dyDescent="0.4">
      <c r="A62" s="8" t="s">
        <v>171</v>
      </c>
      <c r="B62" s="8"/>
      <c r="C62" s="119">
        <v>0</v>
      </c>
      <c r="E62" s="8"/>
      <c r="F62" s="119">
        <v>0</v>
      </c>
      <c r="I62" s="45" t="s">
        <v>196</v>
      </c>
      <c r="J62" s="8"/>
      <c r="K62" s="144">
        <f>K14+IF($J$25="Yes",0,K32)+IF($J$39="Yes",0,K46)</f>
        <v>0</v>
      </c>
      <c r="L62" s="167">
        <f>L58*K62</f>
        <v>0</v>
      </c>
      <c r="M62" s="167">
        <f>M58*K62</f>
        <v>0</v>
      </c>
      <c r="N62" s="167">
        <f>N58*K62</f>
        <v>0</v>
      </c>
      <c r="O62" s="167">
        <f>O58*K62</f>
        <v>0</v>
      </c>
      <c r="Q62" s="4" t="s">
        <v>81</v>
      </c>
      <c r="R62" s="140">
        <v>0.5</v>
      </c>
      <c r="S62" s="9">
        <f>V62</f>
        <v>0</v>
      </c>
      <c r="V62" s="41">
        <f t="shared" ref="V62:V64" si="16">IF($J$39="Yes",N45*R62,0)</f>
        <v>0</v>
      </c>
    </row>
    <row r="63" spans="1:24" x14ac:dyDescent="0.35">
      <c r="A63" s="8" t="s">
        <v>175</v>
      </c>
      <c r="B63" s="8"/>
      <c r="C63" s="108"/>
      <c r="E63" s="8"/>
      <c r="F63" s="12">
        <f>COUNTIF(F60:F62,"&lt;&gt;0")</f>
        <v>0</v>
      </c>
      <c r="I63" s="45" t="s">
        <v>197</v>
      </c>
      <c r="J63" s="8"/>
      <c r="K63" s="144">
        <f>K8+K15+IF($J$25="Yes",0,K33)+IF($J$39="Yes",0,K47)</f>
        <v>0</v>
      </c>
      <c r="L63" s="167">
        <f>L58*K63</f>
        <v>0</v>
      </c>
      <c r="M63" s="167">
        <f>M58*K63</f>
        <v>0</v>
      </c>
      <c r="N63" s="167">
        <f>N58*K63</f>
        <v>0</v>
      </c>
      <c r="O63" s="167">
        <f>O58*K63</f>
        <v>0</v>
      </c>
      <c r="Q63" s="4" t="s">
        <v>83</v>
      </c>
      <c r="R63" s="140">
        <v>0.5</v>
      </c>
      <c r="S63" s="9">
        <f>V63</f>
        <v>0</v>
      </c>
      <c r="V63" s="41">
        <f t="shared" si="16"/>
        <v>0</v>
      </c>
    </row>
    <row r="64" spans="1:24" ht="15" thickBot="1" x14ac:dyDescent="0.4">
      <c r="A64" s="8" t="s">
        <v>176</v>
      </c>
      <c r="B64" s="8"/>
      <c r="C64" s="108"/>
      <c r="E64" s="8"/>
      <c r="F64" s="40">
        <f>IFERROR(((IFERROR((F60/$C$60),0)+IFERROR((F61/$C$61),0)+IFERROR((F62/$C$62),0))/F63),0)</f>
        <v>0</v>
      </c>
      <c r="G64" s="239"/>
      <c r="I64" s="45" t="s">
        <v>198</v>
      </c>
      <c r="J64" s="8"/>
      <c r="K64" s="161">
        <f>SUM(K60:K63)</f>
        <v>0</v>
      </c>
      <c r="L64" s="144">
        <f>L58*K64</f>
        <v>0</v>
      </c>
      <c r="M64" s="144">
        <f>M58*K64</f>
        <v>0</v>
      </c>
      <c r="N64" s="144">
        <f>N58*K64</f>
        <v>0</v>
      </c>
      <c r="O64" s="144">
        <f>O58*K64</f>
        <v>0</v>
      </c>
      <c r="Q64" s="4" t="s">
        <v>61</v>
      </c>
      <c r="R64" s="141">
        <v>0.5</v>
      </c>
      <c r="S64" s="9">
        <f>V64</f>
        <v>0</v>
      </c>
      <c r="V64" s="41">
        <f t="shared" si="16"/>
        <v>0</v>
      </c>
    </row>
    <row r="65" spans="1:23" x14ac:dyDescent="0.35">
      <c r="A65" s="8" t="s">
        <v>105</v>
      </c>
      <c r="B65" s="8"/>
      <c r="C65" s="12">
        <f>C39+C46+C41</f>
        <v>0</v>
      </c>
      <c r="E65" s="8"/>
      <c r="F65" s="41">
        <f>F64*C65</f>
        <v>0</v>
      </c>
      <c r="G65" s="239"/>
      <c r="I65" s="110" t="s">
        <v>199</v>
      </c>
      <c r="J65" s="8"/>
      <c r="K65" s="149">
        <f>IF(J25="Yes",K34,0)</f>
        <v>0</v>
      </c>
      <c r="L65" s="149">
        <f>IF($J$25="Yes",L34,0)</f>
        <v>0</v>
      </c>
      <c r="M65" s="108"/>
      <c r="N65" s="108"/>
      <c r="O65" s="149">
        <f>IF($J$25="Yes",O34,0)</f>
        <v>0</v>
      </c>
      <c r="Q65" s="130"/>
      <c r="R65" s="8"/>
      <c r="S65" s="110">
        <f>SUM(S61:S64)</f>
        <v>0</v>
      </c>
      <c r="V65" s="110">
        <f>SUM(V61:V64)</f>
        <v>0</v>
      </c>
    </row>
    <row r="66" spans="1:23" x14ac:dyDescent="0.35">
      <c r="A66" s="8" t="s">
        <v>107</v>
      </c>
      <c r="B66" s="8"/>
      <c r="C66" s="12">
        <f>C40+C47</f>
        <v>0</v>
      </c>
      <c r="E66" s="8"/>
      <c r="F66" s="41">
        <f>F64*C66</f>
        <v>0</v>
      </c>
      <c r="G66" s="239"/>
      <c r="I66" s="233" t="s">
        <v>24</v>
      </c>
      <c r="J66" s="8"/>
      <c r="K66" s="165">
        <f>S54+S132</f>
        <v>0</v>
      </c>
      <c r="L66" s="108"/>
      <c r="M66" s="108"/>
      <c r="N66" s="108"/>
      <c r="O66" s="108"/>
      <c r="Q66" s="49" t="s">
        <v>20</v>
      </c>
      <c r="S66" s="32">
        <f>(ABS(S64)+ABS(S61)+ABS(S62)+ABS(S63))</f>
        <v>0</v>
      </c>
    </row>
    <row r="67" spans="1:23" x14ac:dyDescent="0.35">
      <c r="A67" s="8" t="s">
        <v>108</v>
      </c>
      <c r="B67" s="8"/>
      <c r="C67" s="14">
        <f>C48</f>
        <v>0</v>
      </c>
      <c r="E67" s="8"/>
      <c r="F67" s="41">
        <f>F64*C67</f>
        <v>0</v>
      </c>
      <c r="G67" s="239"/>
      <c r="I67" s="110" t="s">
        <v>200</v>
      </c>
      <c r="J67" s="8"/>
      <c r="K67" s="149">
        <f>SUM(L67:O67)</f>
        <v>0</v>
      </c>
      <c r="L67" s="108"/>
      <c r="M67" s="108"/>
      <c r="N67" s="149">
        <f>IF($J$39="Yes",N48,0)</f>
        <v>0</v>
      </c>
      <c r="O67" s="108"/>
      <c r="Q67" s="50" t="s">
        <v>87</v>
      </c>
      <c r="R67" s="31"/>
      <c r="S67" s="34">
        <f>IFERROR(S66/K68,0)</f>
        <v>0</v>
      </c>
    </row>
    <row r="68" spans="1:23" x14ac:dyDescent="0.35">
      <c r="A68" s="8" t="s">
        <v>110</v>
      </c>
      <c r="B68" s="8"/>
      <c r="C68" s="12">
        <f>C42+C49</f>
        <v>0</v>
      </c>
      <c r="E68" s="8"/>
      <c r="F68" s="41">
        <f>F64*C68</f>
        <v>0</v>
      </c>
      <c r="G68" s="239"/>
      <c r="I68" s="233" t="s">
        <v>24</v>
      </c>
      <c r="J68" s="8"/>
      <c r="K68" s="145">
        <f>S66+S145</f>
        <v>0</v>
      </c>
      <c r="L68" s="108"/>
      <c r="M68" s="108"/>
      <c r="N68" s="8"/>
      <c r="O68" s="108"/>
      <c r="Q68" s="4" t="s">
        <v>6</v>
      </c>
      <c r="R68" s="31"/>
      <c r="S68" s="145">
        <f>IF($J$39="Yes",$S$67*K41,0)</f>
        <v>0</v>
      </c>
      <c r="V68" s="115">
        <f>IF($J$39="Yes",$S$67*N41,0)</f>
        <v>0</v>
      </c>
    </row>
    <row r="69" spans="1:23" x14ac:dyDescent="0.35">
      <c r="A69" s="27" t="s">
        <v>112</v>
      </c>
      <c r="B69" s="8"/>
      <c r="C69" s="12">
        <f>C65+C66+C67+C68</f>
        <v>0</v>
      </c>
      <c r="E69" s="8"/>
      <c r="F69" s="12">
        <f>F65+F66+F67+F68</f>
        <v>0</v>
      </c>
      <c r="G69" s="239"/>
      <c r="I69" s="110" t="s">
        <v>201</v>
      </c>
      <c r="J69" s="8"/>
      <c r="K69" s="150">
        <f>K67+K65</f>
        <v>0</v>
      </c>
      <c r="L69" s="149">
        <f>IF($J$39="Yes",L48,0)+IF($J$25="Yes",L34,0)</f>
        <v>0</v>
      </c>
      <c r="M69" s="149">
        <f>IF($J$39="Yes",M48,0)+IF($J$25="Yes",M34,0)</f>
        <v>0</v>
      </c>
      <c r="N69" s="149">
        <f>IF($J$39="Yes",N48,0)+IF($J$25="Yes",N34,0)</f>
        <v>0</v>
      </c>
      <c r="O69" s="149">
        <f>IF($J$39="Yes",O48,0)+IF($J$25="Yes",O34,0)</f>
        <v>0</v>
      </c>
      <c r="Q69" s="4" t="s">
        <v>170</v>
      </c>
      <c r="R69" s="31"/>
      <c r="S69" s="145">
        <f t="shared" ref="S69:S70" si="17">IF($J$39="Yes",$S$67*K42,0)</f>
        <v>0</v>
      </c>
      <c r="V69" s="115">
        <f t="shared" ref="V69" si="18">IF($J$39="Yes",$S$67*N42,0)</f>
        <v>0</v>
      </c>
    </row>
    <row r="70" spans="1:23" x14ac:dyDescent="0.35">
      <c r="A70" s="48" t="s">
        <v>24</v>
      </c>
      <c r="B70" s="8"/>
      <c r="C70" s="32">
        <f>K49+K95</f>
        <v>0</v>
      </c>
      <c r="D70" s="8"/>
      <c r="E70" s="8"/>
      <c r="F70" s="8"/>
      <c r="G70" s="8"/>
      <c r="I70" s="8" t="s">
        <v>223</v>
      </c>
      <c r="J70" s="8"/>
      <c r="K70" s="244"/>
      <c r="L70" s="243"/>
      <c r="M70" s="242"/>
      <c r="N70" s="242"/>
      <c r="O70" s="242"/>
      <c r="Q70" s="4" t="s">
        <v>171</v>
      </c>
      <c r="R70" s="31"/>
      <c r="S70" s="145">
        <f t="shared" si="17"/>
        <v>0</v>
      </c>
      <c r="V70" s="115">
        <f>IF($J$39="Yes",$S$67*N43,0)</f>
        <v>0</v>
      </c>
    </row>
    <row r="71" spans="1:23" x14ac:dyDescent="0.35">
      <c r="A71" s="8" t="s">
        <v>223</v>
      </c>
      <c r="B71" s="8"/>
      <c r="C71" s="241">
        <f>D71+E71+F71+G71</f>
        <v>0</v>
      </c>
      <c r="D71" s="242"/>
      <c r="E71" s="242"/>
      <c r="F71" s="242"/>
      <c r="G71" s="242"/>
      <c r="I71" s="20"/>
      <c r="J71" s="20"/>
      <c r="K71" s="20"/>
      <c r="L71" s="20"/>
      <c r="M71" s="20"/>
      <c r="N71" s="20"/>
      <c r="O71" s="20"/>
      <c r="Q71" s="8"/>
      <c r="R71" s="8"/>
      <c r="S71" s="8"/>
      <c r="T71" s="8"/>
      <c r="U71" s="8"/>
    </row>
    <row r="72" spans="1:23" x14ac:dyDescent="0.35">
      <c r="I72" s="8"/>
      <c r="J72" s="8"/>
      <c r="K72" s="8"/>
      <c r="L72" s="8"/>
      <c r="M72" s="8"/>
      <c r="N72" s="8"/>
      <c r="O72" s="8"/>
      <c r="Q72" s="47" t="s">
        <v>97</v>
      </c>
    </row>
    <row r="73" spans="1:23" ht="18.5" x14ac:dyDescent="0.45">
      <c r="I73" s="232" t="s">
        <v>146</v>
      </c>
      <c r="K73" s="16" t="s">
        <v>35</v>
      </c>
      <c r="L73" s="6" t="s">
        <v>36</v>
      </c>
      <c r="M73" s="6" t="s">
        <v>37</v>
      </c>
      <c r="N73" s="6" t="s">
        <v>38</v>
      </c>
      <c r="O73" s="6" t="s">
        <v>39</v>
      </c>
      <c r="S73" s="44" t="s">
        <v>35</v>
      </c>
      <c r="T73" s="6" t="s">
        <v>36</v>
      </c>
      <c r="U73" s="6" t="s">
        <v>37</v>
      </c>
      <c r="V73" s="6" t="s">
        <v>38</v>
      </c>
      <c r="W73" s="6" t="s">
        <v>39</v>
      </c>
    </row>
    <row r="74" spans="1:23" ht="15" thickBot="1" x14ac:dyDescent="0.4">
      <c r="I74" t="s">
        <v>106</v>
      </c>
      <c r="O74"/>
      <c r="Q74" s="27" t="s">
        <v>6</v>
      </c>
      <c r="R74" s="8"/>
      <c r="S74" s="145">
        <f>IFERROR(S14+IF($R$20="Yes",0,S22)+IF($R$35="Yes",0,S37)+IF($R$48="Yes",0,S56)+IF($R$60="Yes",0,S68),0)</f>
        <v>0</v>
      </c>
      <c r="T74" s="115">
        <f>IFERROR(T14+IF($R$20="Yes",0,T22)+IF($R$35="Yes",0,T37)+IF($R$48="Yes",0,T56),0)</f>
        <v>0</v>
      </c>
      <c r="U74" s="115">
        <f>U14+IF($R$20="Yes",0,U22)+IF($R$35="Yes",0,U37)+IF($R$48="Yes",0,U56)+IF($R$60="Yes",0,U68)</f>
        <v>0</v>
      </c>
      <c r="V74" s="115">
        <f>IF($R$35="Yes",0,V37)+IF($R$60="Yes",0,V68)</f>
        <v>0</v>
      </c>
      <c r="W74" s="115">
        <f>IFERROR(IF($R$20="Yes",0,W22)+IF($R$35="Yes",0,W37)+IF($R$48="Yes",0,W56),0)</f>
        <v>0</v>
      </c>
    </row>
    <row r="75" spans="1:23" x14ac:dyDescent="0.35">
      <c r="I75" s="4" t="s">
        <v>47</v>
      </c>
      <c r="K75" s="12">
        <f>M75</f>
        <v>0</v>
      </c>
      <c r="M75" s="117">
        <v>0</v>
      </c>
      <c r="O75"/>
      <c r="Q75" s="27" t="s">
        <v>170</v>
      </c>
      <c r="R75" s="8"/>
      <c r="S75" s="145">
        <f>IFERROR(S16+IF($R$20="Yes",0,S23)+IF($R$35="Yes",0,S38)+IF($R$48="Yes",0,S57)+IF($R$60="Yes",0,S69),0)</f>
        <v>0</v>
      </c>
      <c r="T75" s="115">
        <f>IFERROR(T16+IF($R$20="Yes",0,T23)+IF($R$35="Yes",0,T38)+IF($R$48="Yes",0,T57)+IF($R$60="Yes",0,T69),0)</f>
        <v>0</v>
      </c>
      <c r="U75" s="115">
        <f>U16+IF($R$20="Yes",0,U23)+IF($R$35="Yes",0,U38)+IF($R$48="Yes",0,U57)+IF($R$60="Yes",0,U69)</f>
        <v>0</v>
      </c>
      <c r="V75" s="115">
        <f>V16+IF($R$20="Yes",0,V23)+IF($R$35="Yes",0,V38)+IF($R$48="Yes",0,V57)+IF($R$60="Yes",0,V69)</f>
        <v>0</v>
      </c>
      <c r="W75" s="115">
        <f>IFERROR(W16+IF($R$20="Yes",0,W23)+IF($R$35="Yes",0,W38)+IF($R$48="Yes",0,W57)+IF($R$60="Yes",0,W68),0)</f>
        <v>0</v>
      </c>
    </row>
    <row r="76" spans="1:23" x14ac:dyDescent="0.35">
      <c r="I76" s="4" t="s">
        <v>109</v>
      </c>
      <c r="K76" s="12">
        <f>M76</f>
        <v>0</v>
      </c>
      <c r="M76" s="159">
        <v>0</v>
      </c>
      <c r="O76"/>
      <c r="Q76" s="27" t="s">
        <v>171</v>
      </c>
      <c r="R76" s="8"/>
      <c r="S76" s="145">
        <f>IFERROR(S17+IF($R$20="Yes",0,S24)+IF($R$35="Yes",0,S39)+IF($R$48="Yes",0,S58)+IF($R$60="Yes",0,S70),0)</f>
        <v>0</v>
      </c>
      <c r="T76" s="115">
        <f>IFERROR(T17+IF($R$20="Yes",0,T24)+IF($R$35="Yes",0,T39)+IF($R$48="Yes",0,T58)+IF($R$60="Yes",0,T70),0)</f>
        <v>0</v>
      </c>
      <c r="U76" s="115">
        <f>U17+IF($R$20="Yes",0,U24)+IF($R$35="Yes",0,U39)+IF($R$48="Yes",0,U58)+IF($R$60="Yes",0,U70)</f>
        <v>0</v>
      </c>
      <c r="V76" s="115">
        <f>V17+IF($R$20="Yes",0,V24)+IF($R$35="Yes",0,V39)+IF($R$48="Yes",0,V58)+IF($R$60="Yes",0,V70)</f>
        <v>0</v>
      </c>
      <c r="W76" s="115">
        <f>IFERROR(W17+IF($R$20="Yes",0,W24)+IF($R$35="Yes",0,W39)+IF($R$48="Yes",0,W58)+IF($R$60="Yes",0,W69),0)</f>
        <v>0</v>
      </c>
    </row>
    <row r="77" spans="1:23" ht="15" thickBot="1" x14ac:dyDescent="0.4">
      <c r="I77" s="4" t="s">
        <v>111</v>
      </c>
      <c r="K77" s="12">
        <f>M77</f>
        <v>0</v>
      </c>
      <c r="M77" s="160">
        <v>0</v>
      </c>
      <c r="O77"/>
      <c r="Q77" s="27"/>
      <c r="R77" s="8"/>
      <c r="S77" s="8"/>
      <c r="T77" s="146">
        <f t="shared" ref="T77:V77" si="19">COUNTIF(T74:T76,"&lt;&gt;0")</f>
        <v>0</v>
      </c>
      <c r="U77" s="146">
        <f t="shared" si="19"/>
        <v>0</v>
      </c>
      <c r="V77" s="146">
        <f t="shared" si="19"/>
        <v>0</v>
      </c>
      <c r="W77" s="146">
        <f>COUNTIF(W74:W76,"&lt;&gt;0")</f>
        <v>0</v>
      </c>
    </row>
    <row r="78" spans="1:23" ht="15" thickBot="1" x14ac:dyDescent="0.4">
      <c r="I78" s="2" t="s">
        <v>54</v>
      </c>
      <c r="K78" s="12">
        <f>SUM(K75:K77)</f>
        <v>0</v>
      </c>
      <c r="M78" s="72">
        <f>M75+M76+M77</f>
        <v>0</v>
      </c>
      <c r="O78"/>
      <c r="Q78" s="27" t="s">
        <v>176</v>
      </c>
      <c r="R78" s="8"/>
      <c r="S78" s="8"/>
      <c r="T78" s="173">
        <f t="shared" ref="T78:U78" si="20">IFERROR(((IFERROR((T74/$S$74),0)+IFERROR((T75/$S$75),0)+IFERROR((T76/$S$76),0)/T77)),0)</f>
        <v>0</v>
      </c>
      <c r="U78" s="173">
        <f t="shared" si="20"/>
        <v>0</v>
      </c>
      <c r="V78" s="173">
        <f>IFERROR(((IFERROR((V74/$S$74),0)+IFERROR((V75/$S$75),0)+IFERROR((V76/$S$76),0)/V77)),0)</f>
        <v>0</v>
      </c>
      <c r="W78" s="173">
        <f>IFERROR(((IFERROR((W74/$S$74),0)+IFERROR((W75/$S$75),0)+IFERROR((W76/$S$76),0)/W77)),0)</f>
        <v>0</v>
      </c>
    </row>
    <row r="79" spans="1:23" x14ac:dyDescent="0.35">
      <c r="I79" s="4" t="s">
        <v>113</v>
      </c>
      <c r="K79" s="12">
        <f>M79</f>
        <v>0</v>
      </c>
      <c r="M79" s="117">
        <v>0</v>
      </c>
      <c r="O79"/>
      <c r="Q79" s="4" t="s">
        <v>80</v>
      </c>
      <c r="R79" s="8"/>
      <c r="S79" s="161">
        <f>S8+IF($R$20="Yes",0,S25)+IF($R$60="Yes",0,S61)+IF($R$35="Yes",0,S40)+IF($R$48="Yes",0,S49)</f>
        <v>0</v>
      </c>
      <c r="T79" s="144">
        <f>T78*$S$79</f>
        <v>0</v>
      </c>
      <c r="U79" s="144">
        <f t="shared" ref="U79:W79" si="21">U78*$S$79</f>
        <v>0</v>
      </c>
      <c r="V79" s="144">
        <f t="shared" si="21"/>
        <v>0</v>
      </c>
      <c r="W79" s="144">
        <f t="shared" si="21"/>
        <v>0</v>
      </c>
    </row>
    <row r="80" spans="1:23" ht="15" thickBot="1" x14ac:dyDescent="0.4">
      <c r="I80" s="4" t="s">
        <v>114</v>
      </c>
      <c r="K80" s="12">
        <f>M80</f>
        <v>0</v>
      </c>
      <c r="M80" s="135">
        <v>0</v>
      </c>
      <c r="O80"/>
      <c r="Q80" s="4" t="s">
        <v>81</v>
      </c>
      <c r="R80" s="8"/>
      <c r="S80" s="161">
        <f>IF($R$20="Yes",0,S26)+IF($R$60="Yes",0,S62)+IF($R$35="Yes",0,S41)+IF($R$48="Yes",0,S50)</f>
        <v>0</v>
      </c>
      <c r="T80" s="144">
        <f>T78*$S$80</f>
        <v>0</v>
      </c>
      <c r="U80" s="144">
        <f t="shared" ref="U80:W80" si="22">U78*$S$80</f>
        <v>0</v>
      </c>
      <c r="V80" s="144">
        <f t="shared" si="22"/>
        <v>0</v>
      </c>
      <c r="W80" s="144">
        <f t="shared" si="22"/>
        <v>0</v>
      </c>
    </row>
    <row r="81" spans="9:25" x14ac:dyDescent="0.35">
      <c r="I81" s="3" t="s">
        <v>61</v>
      </c>
      <c r="K81" s="12">
        <f>K79+K80</f>
        <v>0</v>
      </c>
      <c r="M81" s="39">
        <f>M79+M80</f>
        <v>0</v>
      </c>
      <c r="O81"/>
      <c r="Q81" s="4" t="s">
        <v>83</v>
      </c>
      <c r="R81" s="8"/>
      <c r="S81" s="161">
        <f>IF($R$20="Yes",0,S27)+IF($R$60="Yes",0,S63)+IF($R$35="Yes",0,S42)+IF($R$48="Yes",0,S51)</f>
        <v>0</v>
      </c>
      <c r="T81" s="144">
        <f>T78*$S$81</f>
        <v>0</v>
      </c>
      <c r="U81" s="144">
        <f t="shared" ref="U81:W81" si="23">U78*$S$81</f>
        <v>0</v>
      </c>
      <c r="V81" s="144">
        <f t="shared" si="23"/>
        <v>0</v>
      </c>
      <c r="W81" s="144">
        <f t="shared" si="23"/>
        <v>0</v>
      </c>
    </row>
    <row r="82" spans="9:25" x14ac:dyDescent="0.35">
      <c r="I82" s="3" t="s">
        <v>19</v>
      </c>
      <c r="K82" s="12">
        <f>K78+K81</f>
        <v>0</v>
      </c>
      <c r="M82" s="61">
        <f>M81+M78</f>
        <v>0</v>
      </c>
      <c r="O82"/>
      <c r="Q82" s="4" t="s">
        <v>184</v>
      </c>
      <c r="R82" s="8"/>
      <c r="S82" s="161">
        <f>S11+IF($R$20="Yes",0,S28)+IF($R$60="Yes",0,S64)+IF($R$35="Yes",0,S43)+IF($R$48="Yes",0,S52)</f>
        <v>0</v>
      </c>
      <c r="T82" s="144">
        <f>T78*$S$82</f>
        <v>0</v>
      </c>
      <c r="U82" s="144">
        <f t="shared" ref="U82:W82" si="24">U78*$S$82</f>
        <v>0</v>
      </c>
      <c r="V82" s="144">
        <f t="shared" si="24"/>
        <v>0</v>
      </c>
      <c r="W82" s="144">
        <f t="shared" si="24"/>
        <v>0</v>
      </c>
    </row>
    <row r="83" spans="9:25" x14ac:dyDescent="0.35">
      <c r="I83" s="1" t="s">
        <v>115</v>
      </c>
      <c r="K83" s="12">
        <f>K75</f>
        <v>0</v>
      </c>
      <c r="L83" s="12">
        <f>L75</f>
        <v>0</v>
      </c>
      <c r="M83" s="12">
        <f>M75</f>
        <v>0</v>
      </c>
      <c r="N83" s="12"/>
      <c r="O83" s="12"/>
      <c r="Q83" s="27" t="s">
        <v>202</v>
      </c>
      <c r="R83" s="8"/>
      <c r="S83" s="161">
        <f>S12+IF($R$20="Yes",0,S29)+IF($R$60="Yes",0,S65)+IF($R$35="Yes",0,S44)+IF($R$48="Yes",0,S53)</f>
        <v>0</v>
      </c>
      <c r="T83" s="144">
        <f>T78*$S$83</f>
        <v>0</v>
      </c>
      <c r="U83" s="144">
        <f t="shared" ref="U83:W83" si="25">U78*$S$83</f>
        <v>0</v>
      </c>
      <c r="V83" s="144">
        <f t="shared" si="25"/>
        <v>0</v>
      </c>
      <c r="W83" s="144">
        <f t="shared" si="25"/>
        <v>0</v>
      </c>
    </row>
    <row r="84" spans="9:25" x14ac:dyDescent="0.35">
      <c r="I84" s="1" t="s">
        <v>117</v>
      </c>
      <c r="K84" s="168">
        <f>K79+K75</f>
        <v>0</v>
      </c>
      <c r="L84" s="14">
        <f>L79+L75</f>
        <v>0</v>
      </c>
      <c r="M84" s="59">
        <f>M79+M75</f>
        <v>0</v>
      </c>
      <c r="N84" s="14"/>
      <c r="O84" s="14"/>
      <c r="Q84" s="110" t="s">
        <v>199</v>
      </c>
      <c r="R84" s="8"/>
      <c r="S84" s="149">
        <f>IF(R20="Yes",S29,0)</f>
        <v>0</v>
      </c>
      <c r="T84" s="149">
        <f>IF($R$20="Yes",T29,0)</f>
        <v>0</v>
      </c>
      <c r="U84" s="108"/>
      <c r="V84" s="108"/>
      <c r="W84" s="149">
        <f>IF($R$20="Yes",W29,0)</f>
        <v>0</v>
      </c>
    </row>
    <row r="85" spans="9:25" x14ac:dyDescent="0.35">
      <c r="O85"/>
      <c r="Q85" s="110" t="s">
        <v>203</v>
      </c>
      <c r="R85" s="8"/>
      <c r="S85" s="149">
        <f>IF(R35="Yes",S44,0)</f>
        <v>0</v>
      </c>
      <c r="T85" s="149">
        <f>IF($R$35="Yes",T44,0)</f>
        <v>0</v>
      </c>
      <c r="U85" s="149">
        <f>IF($R$35="Yes",U44,0)</f>
        <v>0</v>
      </c>
      <c r="V85" s="149">
        <f>IF($R$35="Yes",V44,0)</f>
        <v>0</v>
      </c>
      <c r="W85" s="149">
        <f>IF($R$35="Yes",W44,0)</f>
        <v>0</v>
      </c>
      <c r="Y85" s="13"/>
    </row>
    <row r="86" spans="9:25" x14ac:dyDescent="0.35">
      <c r="I86" s="60" t="s">
        <v>94</v>
      </c>
      <c r="L86" s="23"/>
      <c r="M86" s="23"/>
      <c r="N86" s="23"/>
      <c r="O86" s="8"/>
      <c r="Q86" s="110" t="s">
        <v>204</v>
      </c>
      <c r="R86" s="8"/>
      <c r="S86" s="149">
        <f>IF(R48="Yes",S53,0)</f>
        <v>0</v>
      </c>
      <c r="T86" s="149">
        <f>IF($R$48="Yes",T53,0)</f>
        <v>0</v>
      </c>
      <c r="U86" s="108"/>
      <c r="V86" s="108"/>
      <c r="W86" s="149">
        <f>IF($R$48="Yes",W53,0)</f>
        <v>0</v>
      </c>
    </row>
    <row r="87" spans="9:25" x14ac:dyDescent="0.35">
      <c r="L87" s="23"/>
      <c r="M87" s="23"/>
      <c r="N87" s="23"/>
      <c r="O87" s="8"/>
      <c r="Q87" s="110" t="s">
        <v>205</v>
      </c>
      <c r="R87" s="8"/>
      <c r="S87" s="149">
        <f>IF(R60="Yes",S65,0)</f>
        <v>0</v>
      </c>
      <c r="T87" s="108"/>
      <c r="U87" s="108"/>
      <c r="V87" s="149">
        <f>IF($R$60="Yes",V65,0)</f>
        <v>0</v>
      </c>
      <c r="W87" s="108"/>
    </row>
    <row r="88" spans="9:25" x14ac:dyDescent="0.35">
      <c r="I88" t="s">
        <v>206</v>
      </c>
      <c r="J88" s="8" t="s">
        <v>75</v>
      </c>
      <c r="K88" s="16" t="s">
        <v>35</v>
      </c>
      <c r="L88" s="6" t="s">
        <v>36</v>
      </c>
      <c r="M88" s="6" t="s">
        <v>37</v>
      </c>
      <c r="N88" s="6" t="s">
        <v>38</v>
      </c>
      <c r="O88" s="6" t="s">
        <v>39</v>
      </c>
      <c r="Q88" s="110" t="s">
        <v>207</v>
      </c>
      <c r="R88" s="8"/>
      <c r="S88" s="150">
        <f>S87+S84+S86+S85</f>
        <v>0</v>
      </c>
      <c r="T88" s="149">
        <f>T84+T86+T85</f>
        <v>0</v>
      </c>
      <c r="U88" s="149">
        <f>U85</f>
        <v>0</v>
      </c>
      <c r="V88" s="149">
        <f>V85+V87</f>
        <v>0</v>
      </c>
      <c r="W88" s="149">
        <f>W85+W86+W84</f>
        <v>0</v>
      </c>
    </row>
    <row r="89" spans="9:25" x14ac:dyDescent="0.35">
      <c r="I89" s="4" t="s">
        <v>77</v>
      </c>
      <c r="K89" s="41"/>
      <c r="M89" s="13"/>
      <c r="N89" s="59">
        <f>K96*F60</f>
        <v>0</v>
      </c>
      <c r="O89" s="8"/>
      <c r="Q89" s="8" t="s">
        <v>223</v>
      </c>
      <c r="R89" s="8"/>
      <c r="S89" s="244">
        <f>T89+U89+V89+W89</f>
        <v>0</v>
      </c>
      <c r="T89" s="243"/>
      <c r="U89" s="243"/>
      <c r="V89" s="243"/>
      <c r="W89" s="243"/>
      <c r="X89" s="13"/>
    </row>
    <row r="90" spans="9:25" ht="15" thickBot="1" x14ac:dyDescent="0.4">
      <c r="I90" s="4" t="s">
        <v>80</v>
      </c>
      <c r="J90" s="43">
        <f>100%-J44</f>
        <v>0.5</v>
      </c>
      <c r="K90" s="9">
        <f>J90*C65</f>
        <v>0</v>
      </c>
      <c r="N90" s="41">
        <f>J90*F65</f>
        <v>0</v>
      </c>
      <c r="O90" s="8"/>
      <c r="Q90" s="27" t="s">
        <v>19</v>
      </c>
      <c r="R90" s="8"/>
      <c r="S90" s="169">
        <f>S88+S83+S89</f>
        <v>0</v>
      </c>
      <c r="T90" s="62">
        <f>T88+T83+T89</f>
        <v>0</v>
      </c>
      <c r="U90" s="62">
        <f t="shared" ref="U90:W90" si="26">U88+U83+U89</f>
        <v>0</v>
      </c>
      <c r="V90" s="62">
        <f t="shared" si="26"/>
        <v>0</v>
      </c>
      <c r="W90" s="62">
        <f t="shared" si="26"/>
        <v>0</v>
      </c>
    </row>
    <row r="91" spans="9:25" ht="15" thickBot="1" x14ac:dyDescent="0.4">
      <c r="I91" s="4" t="s">
        <v>81</v>
      </c>
      <c r="J91" s="43">
        <f>100%-J45</f>
        <v>0.5</v>
      </c>
      <c r="K91" s="9">
        <f>J91*C66</f>
        <v>0</v>
      </c>
      <c r="N91" s="41">
        <f>J91*F66</f>
        <v>0</v>
      </c>
      <c r="O91" s="8"/>
      <c r="Q91" s="27" t="s">
        <v>99</v>
      </c>
      <c r="R91" s="8"/>
      <c r="S91" s="8"/>
      <c r="T91" s="151"/>
      <c r="U91" s="152"/>
      <c r="V91" s="153"/>
      <c r="W91" s="154"/>
    </row>
    <row r="92" spans="9:25" x14ac:dyDescent="0.35">
      <c r="I92" s="4" t="s">
        <v>83</v>
      </c>
      <c r="J92" s="43">
        <f>100%-J46</f>
        <v>0.5</v>
      </c>
      <c r="K92" s="9">
        <f>J92*C67</f>
        <v>0</v>
      </c>
      <c r="N92" s="41">
        <f>J92*F67</f>
        <v>0</v>
      </c>
      <c r="O92" s="8"/>
      <c r="Q92" s="8" t="s">
        <v>101</v>
      </c>
      <c r="R92" s="8"/>
      <c r="S92" s="158">
        <f>T92+U92+V92+W92</f>
        <v>0</v>
      </c>
      <c r="T92" s="73">
        <f>T91*T90</f>
        <v>0</v>
      </c>
      <c r="U92" s="73">
        <f>U91*U90</f>
        <v>0</v>
      </c>
      <c r="V92" s="73">
        <f>V91*V90</f>
        <v>0</v>
      </c>
      <c r="W92" s="73">
        <f t="shared" ref="W92" si="27">W91*W90</f>
        <v>0</v>
      </c>
    </row>
    <row r="93" spans="9:25" x14ac:dyDescent="0.35">
      <c r="I93" s="4" t="s">
        <v>61</v>
      </c>
      <c r="J93" s="43">
        <f>100%-J47</f>
        <v>0.5</v>
      </c>
      <c r="K93" s="9">
        <f>J93*C68</f>
        <v>0</v>
      </c>
      <c r="N93" s="41">
        <f>J93*F68</f>
        <v>0</v>
      </c>
      <c r="O93" s="8"/>
      <c r="Q93" s="20"/>
      <c r="R93" s="20"/>
      <c r="S93" s="20"/>
      <c r="T93" s="20"/>
      <c r="U93" s="20"/>
      <c r="V93" s="20"/>
      <c r="W93" s="20"/>
    </row>
    <row r="94" spans="9:25" x14ac:dyDescent="0.35">
      <c r="I94" s="2" t="s">
        <v>84</v>
      </c>
      <c r="K94" s="12">
        <f>SUM(K90:K93)</f>
        <v>0</v>
      </c>
      <c r="N94" s="61">
        <f t="shared" ref="N94" si="28">SUM(N90:N93)</f>
        <v>0</v>
      </c>
      <c r="O94" s="8"/>
      <c r="Q94" s="8"/>
      <c r="R94" s="8"/>
      <c r="S94" s="8"/>
      <c r="T94" s="8"/>
      <c r="U94" s="8"/>
    </row>
    <row r="95" spans="9:25" ht="18.5" x14ac:dyDescent="0.45">
      <c r="I95" s="49" t="s">
        <v>20</v>
      </c>
      <c r="K95" s="32">
        <f>(ABS(K93)+ABS(K90)+ABS(K91)+ABS(K92))</f>
        <v>0</v>
      </c>
      <c r="O95"/>
      <c r="Q95" s="232" t="s">
        <v>208</v>
      </c>
      <c r="S95" s="16" t="s">
        <v>35</v>
      </c>
      <c r="T95" s="6" t="s">
        <v>36</v>
      </c>
      <c r="U95" s="6" t="s">
        <v>37</v>
      </c>
      <c r="V95" s="6" t="s">
        <v>38</v>
      </c>
      <c r="W95" s="6" t="s">
        <v>39</v>
      </c>
    </row>
    <row r="96" spans="9:25" ht="15" thickBot="1" x14ac:dyDescent="0.4">
      <c r="I96" s="50" t="s">
        <v>87</v>
      </c>
      <c r="K96" s="34">
        <f>IFERROR(K95/C70,0)</f>
        <v>0</v>
      </c>
      <c r="O96"/>
      <c r="Q96" t="s">
        <v>106</v>
      </c>
    </row>
    <row r="97" spans="9:21" x14ac:dyDescent="0.35">
      <c r="O97"/>
      <c r="Q97" s="4" t="s">
        <v>47</v>
      </c>
      <c r="S97" s="9">
        <f>T97+U97+V97+W97</f>
        <v>0</v>
      </c>
      <c r="U97" s="117"/>
    </row>
    <row r="98" spans="9:21" ht="15" thickBot="1" x14ac:dyDescent="0.4">
      <c r="O98"/>
      <c r="Q98" s="4" t="s">
        <v>109</v>
      </c>
      <c r="S98" s="9">
        <f>U98+T98+V98+W98</f>
        <v>0</v>
      </c>
      <c r="U98" s="137"/>
    </row>
    <row r="99" spans="9:21" ht="15" thickBot="1" x14ac:dyDescent="0.4">
      <c r="I99" s="63" t="s">
        <v>124</v>
      </c>
      <c r="J99" t="s">
        <v>209</v>
      </c>
      <c r="K99" s="64" t="s">
        <v>120</v>
      </c>
      <c r="L99" s="6" t="s">
        <v>36</v>
      </c>
      <c r="M99" s="6" t="s">
        <v>37</v>
      </c>
      <c r="N99" s="6" t="s">
        <v>38</v>
      </c>
      <c r="O99" s="6" t="s">
        <v>39</v>
      </c>
      <c r="Q99" s="4" t="s">
        <v>111</v>
      </c>
      <c r="S99" s="9">
        <f>U99</f>
        <v>0</v>
      </c>
      <c r="U99" s="134"/>
    </row>
    <row r="100" spans="9:21" ht="15" thickBot="1" x14ac:dyDescent="0.4">
      <c r="I100" s="4" t="s">
        <v>210</v>
      </c>
      <c r="K100" s="41">
        <f>K78</f>
        <v>0</v>
      </c>
      <c r="L100" s="7"/>
      <c r="M100" s="39">
        <f>M78</f>
        <v>0</v>
      </c>
      <c r="N100" s="7"/>
      <c r="O100" s="124"/>
      <c r="Q100" s="2" t="s">
        <v>54</v>
      </c>
      <c r="S100" s="10">
        <f>SUM(S97:S99)</f>
        <v>0</v>
      </c>
      <c r="U100" s="72">
        <f>U97+U98+U99</f>
        <v>0</v>
      </c>
    </row>
    <row r="101" spans="9:21" x14ac:dyDescent="0.35">
      <c r="I101" s="4" t="s">
        <v>211</v>
      </c>
      <c r="K101" s="41">
        <f>K90</f>
        <v>0</v>
      </c>
      <c r="L101" s="13"/>
      <c r="M101" s="13"/>
      <c r="N101" s="41">
        <f>N90</f>
        <v>0</v>
      </c>
      <c r="O101" s="13"/>
      <c r="Q101" s="4" t="s">
        <v>113</v>
      </c>
      <c r="S101" s="9">
        <f>T101+U101+V101+W101</f>
        <v>0</v>
      </c>
      <c r="U101" s="117"/>
    </row>
    <row r="102" spans="9:21" ht="15" thickBot="1" x14ac:dyDescent="0.4">
      <c r="I102" s="4" t="s">
        <v>212</v>
      </c>
      <c r="K102" s="41">
        <f>K91</f>
        <v>0</v>
      </c>
      <c r="L102" s="13"/>
      <c r="M102" s="13"/>
      <c r="N102" s="41">
        <f>N91</f>
        <v>0</v>
      </c>
      <c r="O102" s="13"/>
      <c r="Q102" s="4" t="s">
        <v>114</v>
      </c>
      <c r="S102" s="12">
        <f>T102+U102+V102+W102</f>
        <v>0</v>
      </c>
      <c r="U102" s="135"/>
    </row>
    <row r="103" spans="9:21" x14ac:dyDescent="0.35">
      <c r="I103" s="4" t="s">
        <v>213</v>
      </c>
      <c r="K103" s="41">
        <f>K92</f>
        <v>0</v>
      </c>
      <c r="L103" s="13"/>
      <c r="M103" s="13"/>
      <c r="N103" s="41">
        <f>N92</f>
        <v>0</v>
      </c>
      <c r="O103" s="13"/>
      <c r="Q103" s="3" t="s">
        <v>61</v>
      </c>
      <c r="S103" s="12">
        <f>S101+S102</f>
        <v>0</v>
      </c>
      <c r="U103" s="61">
        <f>U101+U102</f>
        <v>0</v>
      </c>
    </row>
    <row r="104" spans="9:21" x14ac:dyDescent="0.35">
      <c r="I104" s="8" t="s">
        <v>223</v>
      </c>
      <c r="J104" s="8"/>
      <c r="K104" s="241">
        <f>L104+M104+N104+O104</f>
        <v>0</v>
      </c>
      <c r="L104" s="242"/>
      <c r="M104" s="242"/>
      <c r="N104" s="242"/>
      <c r="O104" s="242"/>
      <c r="Q104" s="3" t="s">
        <v>19</v>
      </c>
      <c r="S104" s="12">
        <f>S100+S103</f>
        <v>0</v>
      </c>
      <c r="U104" s="61">
        <f>U103+U100</f>
        <v>0</v>
      </c>
    </row>
    <row r="105" spans="9:21" ht="15" thickBot="1" x14ac:dyDescent="0.4">
      <c r="I105" s="4" t="s">
        <v>214</v>
      </c>
      <c r="K105" s="41">
        <f>SUM(K100:K104)</f>
        <v>0</v>
      </c>
      <c r="L105" s="41">
        <f t="shared" ref="L105:O105" si="29">SUM(L100:L104)</f>
        <v>0</v>
      </c>
      <c r="M105" s="41">
        <f t="shared" si="29"/>
        <v>0</v>
      </c>
      <c r="N105" s="41">
        <f t="shared" si="29"/>
        <v>0</v>
      </c>
      <c r="O105" s="41">
        <f t="shared" si="29"/>
        <v>0</v>
      </c>
      <c r="Q105" s="1" t="s">
        <v>115</v>
      </c>
      <c r="S105" s="12">
        <f>S97</f>
        <v>0</v>
      </c>
      <c r="U105" s="12">
        <f>U97</f>
        <v>0</v>
      </c>
    </row>
    <row r="106" spans="9:21" ht="15" thickBot="1" x14ac:dyDescent="0.4">
      <c r="I106" s="4" t="s">
        <v>215</v>
      </c>
      <c r="J106" s="126">
        <v>0</v>
      </c>
      <c r="K106" s="41">
        <f>MAX(0,K105*J106)</f>
        <v>0</v>
      </c>
      <c r="L106" s="13"/>
      <c r="M106" s="17"/>
      <c r="N106" s="11"/>
      <c r="O106" s="13"/>
      <c r="Q106" s="1" t="s">
        <v>117</v>
      </c>
      <c r="S106" s="168">
        <f>S101+S97</f>
        <v>0</v>
      </c>
      <c r="U106" s="168">
        <f>U101+U97</f>
        <v>0</v>
      </c>
    </row>
    <row r="107" spans="9:21" ht="15" thickBot="1" x14ac:dyDescent="0.4">
      <c r="I107" s="4" t="s">
        <v>125</v>
      </c>
      <c r="K107" s="13"/>
      <c r="L107" s="13"/>
      <c r="M107" s="17"/>
      <c r="N107" s="126">
        <v>0</v>
      </c>
      <c r="O107" s="13"/>
    </row>
    <row r="108" spans="9:21" x14ac:dyDescent="0.35">
      <c r="I108" s="4" t="s">
        <v>126</v>
      </c>
      <c r="K108" s="13"/>
      <c r="L108" s="13"/>
      <c r="M108" s="17"/>
      <c r="N108" s="39">
        <f>MIN(MAX(N105*J106,0),MAX(N107*N105,0))</f>
        <v>0</v>
      </c>
      <c r="O108" s="13"/>
      <c r="Q108" s="1" t="s">
        <v>170</v>
      </c>
      <c r="S108" s="117"/>
      <c r="U108" s="117">
        <v>0</v>
      </c>
    </row>
    <row r="109" spans="9:21" ht="15" thickBot="1" x14ac:dyDescent="0.4">
      <c r="I109" s="4" t="s">
        <v>216</v>
      </c>
      <c r="K109" s="41">
        <f>MAX(0,K106-N108)</f>
        <v>0</v>
      </c>
      <c r="L109" s="13"/>
      <c r="M109" s="17"/>
      <c r="N109" s="17"/>
      <c r="O109" s="13"/>
      <c r="Q109" s="1" t="s">
        <v>171</v>
      </c>
      <c r="S109" s="119"/>
      <c r="U109" s="119">
        <v>0</v>
      </c>
    </row>
    <row r="110" spans="9:21" ht="15" thickBot="1" x14ac:dyDescent="0.4">
      <c r="I110" s="4" t="s">
        <v>217</v>
      </c>
      <c r="K110" s="41">
        <f>K93+K81</f>
        <v>0</v>
      </c>
      <c r="L110" s="13"/>
      <c r="M110" s="41">
        <f>M81</f>
        <v>0</v>
      </c>
      <c r="N110" s="41">
        <f>N93</f>
        <v>0</v>
      </c>
      <c r="O110" s="13"/>
      <c r="Q110" s="1"/>
    </row>
    <row r="111" spans="9:21" ht="15" thickBot="1" x14ac:dyDescent="0.4">
      <c r="I111" s="4" t="s">
        <v>215</v>
      </c>
      <c r="J111" s="126">
        <v>0</v>
      </c>
      <c r="K111" s="41">
        <f>MAX(0,K110*J111)</f>
        <v>0</v>
      </c>
      <c r="L111" s="13"/>
      <c r="M111" s="17"/>
      <c r="N111" s="11"/>
      <c r="O111" s="13"/>
      <c r="Q111" s="55" t="s">
        <v>90</v>
      </c>
      <c r="S111" t="s">
        <v>151</v>
      </c>
      <c r="T111" s="23"/>
      <c r="U111" s="8"/>
    </row>
    <row r="112" spans="9:21" ht="15" thickBot="1" x14ac:dyDescent="0.4">
      <c r="I112" s="4" t="s">
        <v>125</v>
      </c>
      <c r="K112" s="17"/>
      <c r="L112" s="17"/>
      <c r="M112" s="17"/>
      <c r="N112" s="126">
        <v>0</v>
      </c>
      <c r="O112" s="13"/>
      <c r="Q112" s="65" t="s">
        <v>177</v>
      </c>
      <c r="T112" s="23"/>
      <c r="U112" s="8"/>
    </row>
    <row r="113" spans="9:23" ht="15" thickBot="1" x14ac:dyDescent="0.4">
      <c r="I113" s="4" t="s">
        <v>126</v>
      </c>
      <c r="K113" s="17"/>
      <c r="L113" s="17"/>
      <c r="M113" s="17"/>
      <c r="N113" s="39">
        <f>MIN(MAX(N110*J111,0),MAX(N112*N110,0))</f>
        <v>0</v>
      </c>
      <c r="O113" s="125"/>
      <c r="Q113" s="155" t="s">
        <v>178</v>
      </c>
      <c r="R113" s="138" t="s">
        <v>162</v>
      </c>
      <c r="T113" s="23"/>
      <c r="U113" s="8"/>
    </row>
    <row r="114" spans="9:23" x14ac:dyDescent="0.35">
      <c r="I114" s="4" t="s">
        <v>218</v>
      </c>
      <c r="K114" s="41">
        <f>MAX(0,K111-N113)</f>
        <v>0</v>
      </c>
      <c r="L114" s="17"/>
      <c r="M114" s="17"/>
      <c r="N114" s="125"/>
      <c r="O114" s="125"/>
      <c r="Q114" t="s">
        <v>118</v>
      </c>
      <c r="R114" s="8" t="s">
        <v>75</v>
      </c>
      <c r="S114" s="16" t="s">
        <v>35</v>
      </c>
      <c r="T114" s="6" t="s">
        <v>36</v>
      </c>
      <c r="U114" s="6" t="s">
        <v>37</v>
      </c>
      <c r="V114" s="6" t="s">
        <v>38</v>
      </c>
      <c r="W114" s="6" t="s">
        <v>39</v>
      </c>
    </row>
    <row r="115" spans="9:23" x14ac:dyDescent="0.35">
      <c r="I115" s="4" t="s">
        <v>219</v>
      </c>
      <c r="K115" s="41">
        <f>M115+N115</f>
        <v>0</v>
      </c>
      <c r="L115" s="17"/>
      <c r="M115" s="41">
        <f>K114+K109</f>
        <v>0</v>
      </c>
      <c r="N115" s="41">
        <f>(N107*N105)+(N112*N110)</f>
        <v>0</v>
      </c>
      <c r="O115" s="11"/>
      <c r="Q115" s="4" t="s">
        <v>77</v>
      </c>
      <c r="S115" s="168">
        <f>S124*K54</f>
        <v>0</v>
      </c>
      <c r="T115" s="59">
        <f t="shared" ref="T115:W117" si="30">$S$124*L54</f>
        <v>0</v>
      </c>
      <c r="U115" s="59">
        <f t="shared" si="30"/>
        <v>0</v>
      </c>
      <c r="V115" s="59">
        <f t="shared" si="30"/>
        <v>0</v>
      </c>
      <c r="W115" s="59">
        <f t="shared" si="30"/>
        <v>0</v>
      </c>
    </row>
    <row r="116" spans="9:23" x14ac:dyDescent="0.35">
      <c r="L116" s="17"/>
      <c r="O116" s="8"/>
      <c r="Q116" s="4" t="s">
        <v>170</v>
      </c>
      <c r="S116" s="168">
        <f>S124*K55</f>
        <v>0</v>
      </c>
      <c r="T116" s="59">
        <f t="shared" si="30"/>
        <v>0</v>
      </c>
      <c r="U116" s="59">
        <f t="shared" si="30"/>
        <v>0</v>
      </c>
      <c r="V116" s="59">
        <f t="shared" si="30"/>
        <v>0</v>
      </c>
      <c r="W116" s="59">
        <f t="shared" si="30"/>
        <v>0</v>
      </c>
    </row>
    <row r="117" spans="9:23" x14ac:dyDescent="0.35">
      <c r="O117" s="8"/>
      <c r="Q117" s="4" t="s">
        <v>171</v>
      </c>
      <c r="S117" s="168">
        <f>S124*K56</f>
        <v>0</v>
      </c>
      <c r="T117" s="59">
        <f t="shared" si="30"/>
        <v>0</v>
      </c>
      <c r="U117" s="59">
        <f t="shared" si="30"/>
        <v>0</v>
      </c>
      <c r="V117" s="59">
        <f t="shared" si="30"/>
        <v>0</v>
      </c>
      <c r="W117" s="59">
        <f t="shared" si="30"/>
        <v>0</v>
      </c>
    </row>
    <row r="118" spans="9:23" x14ac:dyDescent="0.35">
      <c r="O118" s="8"/>
      <c r="Q118" s="4" t="s">
        <v>80</v>
      </c>
      <c r="R118" s="43">
        <f>100%-R40</f>
        <v>0.5</v>
      </c>
      <c r="S118" s="45">
        <f>R118*K60</f>
        <v>0</v>
      </c>
      <c r="T118" s="66">
        <f>R118*L60</f>
        <v>0</v>
      </c>
      <c r="U118" s="66">
        <f>R118*M60</f>
        <v>0</v>
      </c>
      <c r="V118" s="66">
        <f t="shared" ref="V118:W121" si="31">$R$118*N60</f>
        <v>0</v>
      </c>
      <c r="W118" s="66">
        <f t="shared" si="31"/>
        <v>0</v>
      </c>
    </row>
    <row r="119" spans="9:23" x14ac:dyDescent="0.35">
      <c r="O119" s="8"/>
      <c r="Q119" s="4" t="s">
        <v>81</v>
      </c>
      <c r="R119" s="43">
        <f>100%-R41</f>
        <v>0.5</v>
      </c>
      <c r="S119" s="45">
        <f>R119*K61</f>
        <v>0</v>
      </c>
      <c r="T119" s="45">
        <f>R119*L61</f>
        <v>0</v>
      </c>
      <c r="U119" s="45">
        <f>R119*M61</f>
        <v>0</v>
      </c>
      <c r="V119" s="66">
        <f t="shared" si="31"/>
        <v>0</v>
      </c>
      <c r="W119" s="66">
        <f t="shared" si="31"/>
        <v>0</v>
      </c>
    </row>
    <row r="120" spans="9:23" x14ac:dyDescent="0.35">
      <c r="O120" s="8"/>
      <c r="Q120" s="4" t="s">
        <v>83</v>
      </c>
      <c r="R120" s="43">
        <f>100%-R42</f>
        <v>0.5</v>
      </c>
      <c r="S120" s="45">
        <f>R120*K62</f>
        <v>0</v>
      </c>
      <c r="T120" s="66">
        <f>R120*L62</f>
        <v>0</v>
      </c>
      <c r="U120" s="66">
        <f>R120*M62</f>
        <v>0</v>
      </c>
      <c r="V120" s="66">
        <f t="shared" si="31"/>
        <v>0</v>
      </c>
      <c r="W120" s="66">
        <f t="shared" si="31"/>
        <v>0</v>
      </c>
    </row>
    <row r="121" spans="9:23" x14ac:dyDescent="0.35">
      <c r="O121" s="8"/>
      <c r="Q121" s="4" t="s">
        <v>61</v>
      </c>
      <c r="R121" s="43">
        <f>100%-R43</f>
        <v>0.5</v>
      </c>
      <c r="S121" s="45">
        <f>R121*K63</f>
        <v>0</v>
      </c>
      <c r="T121" s="66">
        <f>R121*L63</f>
        <v>0</v>
      </c>
      <c r="U121" s="66">
        <f>R121*M63</f>
        <v>0</v>
      </c>
      <c r="V121" s="66">
        <f t="shared" si="31"/>
        <v>0</v>
      </c>
      <c r="W121" s="66">
        <f t="shared" si="31"/>
        <v>0</v>
      </c>
    </row>
    <row r="122" spans="9:23" x14ac:dyDescent="0.35">
      <c r="O122" s="8"/>
      <c r="Q122" s="2" t="s">
        <v>84</v>
      </c>
      <c r="S122" s="161">
        <f>SUM(S118:S121)</f>
        <v>0</v>
      </c>
      <c r="T122" s="144">
        <f t="shared" ref="T122:W122" si="32">SUM(T118:T121)</f>
        <v>0</v>
      </c>
      <c r="U122" s="144">
        <f t="shared" si="32"/>
        <v>0</v>
      </c>
      <c r="V122" s="144">
        <f t="shared" si="32"/>
        <v>0</v>
      </c>
      <c r="W122" s="144">
        <f t="shared" si="32"/>
        <v>0</v>
      </c>
    </row>
    <row r="123" spans="9:23" x14ac:dyDescent="0.35">
      <c r="O123" s="8"/>
      <c r="Q123" s="49" t="s">
        <v>20</v>
      </c>
      <c r="S123" s="32">
        <f>(ABS(S121)+ABS(S118)+ABS(S119)+ABS(S120))</f>
        <v>0</v>
      </c>
    </row>
    <row r="124" spans="9:23" x14ac:dyDescent="0.35">
      <c r="O124" s="8"/>
      <c r="Q124" s="50" t="s">
        <v>87</v>
      </c>
      <c r="S124" s="34">
        <f>IFERROR(S123/K59,0)</f>
        <v>0</v>
      </c>
    </row>
    <row r="125" spans="9:23" ht="15" thickBot="1" x14ac:dyDescent="0.4">
      <c r="O125" s="8"/>
      <c r="Q125" s="56" t="s">
        <v>186</v>
      </c>
      <c r="S125" s="125"/>
    </row>
    <row r="126" spans="9:23" ht="15" thickBot="1" x14ac:dyDescent="0.4">
      <c r="O126" s="8"/>
      <c r="Q126" t="s">
        <v>187</v>
      </c>
      <c r="R126" s="138" t="s">
        <v>162</v>
      </c>
      <c r="S126" s="125"/>
    </row>
    <row r="127" spans="9:23" x14ac:dyDescent="0.35">
      <c r="O127" s="8"/>
      <c r="Q127" s="4" t="s">
        <v>80</v>
      </c>
      <c r="R127" s="43">
        <f>100%-R49</f>
        <v>5.0000000000000044E-2</v>
      </c>
      <c r="S127" s="14">
        <f>IF($J$25="Yes",K30*R127,0)</f>
        <v>0</v>
      </c>
      <c r="T127" s="41">
        <f>IF($J$25="Yes",L30*R127,0)</f>
        <v>0</v>
      </c>
      <c r="U127" s="13"/>
      <c r="W127" s="41">
        <f>IF($J$25="Yes",O30*R127,0)</f>
        <v>0</v>
      </c>
    </row>
    <row r="128" spans="9:23" x14ac:dyDescent="0.35">
      <c r="O128" s="8"/>
      <c r="Q128" s="4" t="s">
        <v>81</v>
      </c>
      <c r="R128" s="43">
        <f>100%-R50</f>
        <v>0.5</v>
      </c>
      <c r="S128" s="14">
        <f>IF($J$25="Yes",K31*R128,0)</f>
        <v>0</v>
      </c>
      <c r="T128" s="41">
        <f>IF($J$25="Yes",L31*R128,0)</f>
        <v>0</v>
      </c>
      <c r="U128" s="13"/>
      <c r="W128" s="41">
        <f>IF($J$25="Yes",O31*R128,0)</f>
        <v>0</v>
      </c>
    </row>
    <row r="129" spans="15:23" x14ac:dyDescent="0.35">
      <c r="O129" s="8"/>
      <c r="Q129" s="4" t="s">
        <v>83</v>
      </c>
      <c r="R129" s="43">
        <f>100%-R51</f>
        <v>0.5</v>
      </c>
      <c r="S129" s="14">
        <f>IF($J$25="Yes",K32*R129,0)</f>
        <v>0</v>
      </c>
      <c r="T129" s="41">
        <f>IF($J$25="Yes",L32*R129,0)</f>
        <v>0</v>
      </c>
      <c r="U129" s="13"/>
      <c r="W129" s="41">
        <f>IF($J$25="Yes",O32*R129,0)</f>
        <v>0</v>
      </c>
    </row>
    <row r="130" spans="15:23" x14ac:dyDescent="0.35">
      <c r="O130" s="8"/>
      <c r="Q130" s="4" t="s">
        <v>61</v>
      </c>
      <c r="R130" s="43">
        <f>100%-R52</f>
        <v>0.5</v>
      </c>
      <c r="S130" s="14">
        <f>IF($J$25="Yes",K33*R130,0)</f>
        <v>0</v>
      </c>
      <c r="T130" s="41">
        <f>IF($J$25="Yes",L33*R130,0)</f>
        <v>0</v>
      </c>
      <c r="U130" s="13"/>
      <c r="W130" s="41">
        <f>IF($J$25="Yes",O33*R130,0)</f>
        <v>0</v>
      </c>
    </row>
    <row r="131" spans="15:23" x14ac:dyDescent="0.35">
      <c r="O131" s="8"/>
      <c r="Q131" t="s">
        <v>75</v>
      </c>
      <c r="R131" s="31"/>
      <c r="S131" s="111">
        <f>SUM(S127:S130)</f>
        <v>0</v>
      </c>
      <c r="T131" s="111">
        <f>SUM(T127:T130)</f>
        <v>0</v>
      </c>
      <c r="W131" s="111">
        <f>SUM(W127:W130)</f>
        <v>0</v>
      </c>
    </row>
    <row r="132" spans="15:23" x14ac:dyDescent="0.35">
      <c r="O132" s="8"/>
      <c r="Q132" s="49" t="s">
        <v>20</v>
      </c>
      <c r="S132" s="32">
        <f>(ABS(S130)+ABS(S127)+ABS(S128)+ABS(S129))</f>
        <v>0</v>
      </c>
    </row>
    <row r="133" spans="15:23" x14ac:dyDescent="0.35">
      <c r="O133" s="8"/>
      <c r="Q133" s="50" t="s">
        <v>87</v>
      </c>
      <c r="R133" s="31"/>
      <c r="S133" s="34">
        <f>IFERROR(S132/K66,0)</f>
        <v>0</v>
      </c>
    </row>
    <row r="134" spans="15:23" x14ac:dyDescent="0.35">
      <c r="O134" s="8"/>
      <c r="Q134" s="4" t="s">
        <v>6</v>
      </c>
      <c r="R134" s="31"/>
      <c r="S134" s="145">
        <f t="shared" ref="S134:T136" si="33">IF($J$25="Yes",$S$133*K27,0)</f>
        <v>0</v>
      </c>
      <c r="T134" s="115">
        <f t="shared" si="33"/>
        <v>0</v>
      </c>
      <c r="W134" s="115">
        <f>IF($J$25="Yes",$S$133*O27,0)</f>
        <v>0</v>
      </c>
    </row>
    <row r="135" spans="15:23" x14ac:dyDescent="0.35">
      <c r="O135" s="8"/>
      <c r="Q135" s="4" t="s">
        <v>170</v>
      </c>
      <c r="R135" s="31"/>
      <c r="S135" s="145">
        <f t="shared" si="33"/>
        <v>0</v>
      </c>
      <c r="T135" s="115">
        <f t="shared" si="33"/>
        <v>0</v>
      </c>
      <c r="W135" s="115">
        <f>IF($J$25="Yes",$S$133*O28,0)</f>
        <v>0</v>
      </c>
    </row>
    <row r="136" spans="15:23" x14ac:dyDescent="0.35">
      <c r="O136" s="8"/>
      <c r="Q136" s="4" t="s">
        <v>171</v>
      </c>
      <c r="R136" s="31"/>
      <c r="S136" s="145">
        <f t="shared" si="33"/>
        <v>0</v>
      </c>
      <c r="T136" s="115">
        <f t="shared" si="33"/>
        <v>0</v>
      </c>
      <c r="W136" s="115">
        <f>IF($J$25="Yes",$S$133*O29,0)</f>
        <v>0</v>
      </c>
    </row>
    <row r="137" spans="15:23" x14ac:dyDescent="0.35">
      <c r="O137" s="8"/>
      <c r="Q137" s="4"/>
      <c r="R137" s="4"/>
      <c r="S137" s="4"/>
      <c r="T137" s="4"/>
      <c r="U137" s="4"/>
      <c r="V137" s="4"/>
      <c r="W137" s="4"/>
    </row>
    <row r="138" spans="15:23" ht="15" thickBot="1" x14ac:dyDescent="0.4">
      <c r="O138" s="8"/>
      <c r="Q138" s="56" t="s">
        <v>192</v>
      </c>
      <c r="S138" s="125"/>
    </row>
    <row r="139" spans="15:23" ht="15" thickBot="1" x14ac:dyDescent="0.4">
      <c r="O139" s="8"/>
      <c r="Q139" t="s">
        <v>194</v>
      </c>
      <c r="R139" s="138" t="s">
        <v>162</v>
      </c>
      <c r="S139" s="125"/>
    </row>
    <row r="140" spans="15:23" x14ac:dyDescent="0.35">
      <c r="O140" s="8"/>
      <c r="Q140" s="4" t="s">
        <v>80</v>
      </c>
      <c r="R140" s="43">
        <f>100%-R61</f>
        <v>0.5</v>
      </c>
      <c r="S140" s="14">
        <f>IF($J$39="Yes",K44*R140,0)</f>
        <v>0</v>
      </c>
      <c r="U140" s="13"/>
      <c r="V140" s="41">
        <f>IF($J$39="Yes",N44*R140,0)</f>
        <v>0</v>
      </c>
      <c r="W140" s="8"/>
    </row>
    <row r="141" spans="15:23" x14ac:dyDescent="0.35">
      <c r="O141" s="8"/>
      <c r="Q141" s="4" t="s">
        <v>81</v>
      </c>
      <c r="R141" s="43">
        <f>100%-R62</f>
        <v>0.5</v>
      </c>
      <c r="S141" s="14">
        <f>IF($J$39="Yes",K45*R141,0)</f>
        <v>0</v>
      </c>
      <c r="U141" s="13"/>
      <c r="V141" s="41">
        <f>IF($J$39="Yes",N45*R141,0)</f>
        <v>0</v>
      </c>
      <c r="W141" s="8"/>
    </row>
    <row r="142" spans="15:23" x14ac:dyDescent="0.35">
      <c r="O142" s="8"/>
      <c r="Q142" s="4" t="s">
        <v>83</v>
      </c>
      <c r="R142" s="43">
        <f>100%-R63</f>
        <v>0.5</v>
      </c>
      <c r="S142" s="14">
        <f>IF($J$39="Yes",K46*R142,0)</f>
        <v>0</v>
      </c>
      <c r="U142" s="13"/>
      <c r="V142" s="41">
        <f>IF($J$39="Yes",N46*R142,0)</f>
        <v>0</v>
      </c>
      <c r="W142" s="8"/>
    </row>
    <row r="143" spans="15:23" x14ac:dyDescent="0.35">
      <c r="O143" s="8"/>
      <c r="Q143" s="4" t="s">
        <v>61</v>
      </c>
      <c r="R143" s="43">
        <f>100%-R64</f>
        <v>0.5</v>
      </c>
      <c r="S143" s="14">
        <f>IF($J$39="Yes",K47*R143,0)</f>
        <v>0</v>
      </c>
      <c r="U143" s="13"/>
      <c r="V143" s="41">
        <f>IF($J$39="Yes",N47*R143,0)</f>
        <v>0</v>
      </c>
      <c r="W143" s="8"/>
    </row>
    <row r="144" spans="15:23" x14ac:dyDescent="0.35">
      <c r="O144" s="8"/>
      <c r="Q144" s="4" t="s">
        <v>84</v>
      </c>
      <c r="S144" s="172">
        <f>SUM(S140:S143)</f>
        <v>0</v>
      </c>
      <c r="U144" s="13"/>
      <c r="V144" s="172">
        <f>SUM(V140:V143)</f>
        <v>0</v>
      </c>
      <c r="W144" s="8"/>
    </row>
    <row r="145" spans="15:25" x14ac:dyDescent="0.35">
      <c r="O145" s="8"/>
      <c r="Q145" s="49" t="s">
        <v>20</v>
      </c>
      <c r="S145" s="32">
        <f>(ABS(S143)+ABS(S140)+ABS(S141)+ABS(S142))</f>
        <v>0</v>
      </c>
    </row>
    <row r="146" spans="15:25" x14ac:dyDescent="0.35">
      <c r="O146" s="8"/>
      <c r="Q146" s="50" t="s">
        <v>87</v>
      </c>
      <c r="R146" s="31"/>
      <c r="S146" s="34">
        <f>IFERROR(S145/K68,0)</f>
        <v>0</v>
      </c>
    </row>
    <row r="147" spans="15:25" x14ac:dyDescent="0.35">
      <c r="O147" s="8"/>
      <c r="Q147" s="4" t="s">
        <v>6</v>
      </c>
      <c r="R147" s="31"/>
      <c r="S147" s="145">
        <f>IF($J$25="Yes",$S$146*K41,0)</f>
        <v>0</v>
      </c>
      <c r="V147" s="115">
        <f>IF($J$39="Yes",$S$146*N41,0)</f>
        <v>0</v>
      </c>
    </row>
    <row r="148" spans="15:25" x14ac:dyDescent="0.35">
      <c r="O148" s="8"/>
      <c r="Q148" s="4" t="s">
        <v>170</v>
      </c>
      <c r="R148" s="31"/>
      <c r="S148" s="145">
        <f>IF($J$25="Yes",$S$146*K42,0)</f>
        <v>0</v>
      </c>
      <c r="V148" s="115">
        <f>IF($J$39="Yes",$S$146*N42,0)</f>
        <v>0</v>
      </c>
    </row>
    <row r="149" spans="15:25" x14ac:dyDescent="0.35">
      <c r="O149" s="8"/>
      <c r="Q149" s="4" t="s">
        <v>171</v>
      </c>
      <c r="R149" s="31"/>
      <c r="S149" s="145">
        <f>IF($J$25="Yes",$S$146*K43,0)</f>
        <v>0</v>
      </c>
      <c r="V149" s="115">
        <f>IF($J$39="Yes",$S$146*N43,0)</f>
        <v>0</v>
      </c>
    </row>
    <row r="150" spans="15:25" x14ac:dyDescent="0.35">
      <c r="O150" s="8"/>
      <c r="Q150" s="4"/>
      <c r="R150" s="4"/>
      <c r="S150" s="4"/>
      <c r="T150" s="4"/>
    </row>
    <row r="151" spans="15:25" x14ac:dyDescent="0.35">
      <c r="O151" s="8"/>
      <c r="Q151" s="63" t="s">
        <v>119</v>
      </c>
    </row>
    <row r="152" spans="15:25" x14ac:dyDescent="0.35">
      <c r="O152" s="8"/>
      <c r="S152" s="44" t="s">
        <v>35</v>
      </c>
      <c r="T152" s="6" t="s">
        <v>36</v>
      </c>
      <c r="U152" s="6" t="s">
        <v>37</v>
      </c>
      <c r="V152" s="6" t="s">
        <v>38</v>
      </c>
      <c r="W152" s="6" t="s">
        <v>39</v>
      </c>
    </row>
    <row r="153" spans="15:25" x14ac:dyDescent="0.35">
      <c r="O153" s="8"/>
      <c r="Q153" s="27" t="s">
        <v>6</v>
      </c>
      <c r="R153" s="8"/>
      <c r="S153" s="145">
        <f>S97+IF($R$113="Yes",0,S115)+IF($R$126="Yes",0,S134)+IF($R$139="Yes",0,S146)</f>
        <v>0</v>
      </c>
      <c r="T153" s="115">
        <f>IF($R$113="Yes",0,T115)+IF($R$126="Yes",0,T134)</f>
        <v>0</v>
      </c>
      <c r="U153" s="115">
        <f>U97+IF($R$113="Yes",0,U115)</f>
        <v>0</v>
      </c>
      <c r="V153" s="115">
        <f>IF($R$113="Yes",0,V115)+IF($R$139="Yes",0,V147)</f>
        <v>0</v>
      </c>
      <c r="W153" s="115">
        <f>IF($R$113="Yes",0,W115)+IF($R$126="Yes",0,W134)</f>
        <v>0</v>
      </c>
    </row>
    <row r="154" spans="15:25" x14ac:dyDescent="0.35">
      <c r="O154" s="8"/>
      <c r="Q154" s="27" t="s">
        <v>170</v>
      </c>
      <c r="R154" s="8"/>
      <c r="S154" s="145">
        <f>S108+IF($R$113="Yes",0,S116)+IF($R$126="Yes",0,S135)+IF($R$139="Yes",0,S147)</f>
        <v>0</v>
      </c>
      <c r="T154" s="115">
        <f>IF($R$113="Yes",0,T116)+IF($R$126="Yes",0,T135)</f>
        <v>0</v>
      </c>
      <c r="U154" s="115">
        <f>U108+IF($R$113="Yes",0,U116)</f>
        <v>0</v>
      </c>
      <c r="V154" s="115">
        <f>IF($R$113="Yes",0,V116)+IF($R$139="Yes",0,V148)</f>
        <v>0</v>
      </c>
      <c r="W154" s="115">
        <f>IF($R$113="Yes",0,W116)+IF($R$126="Yes",0,W135)</f>
        <v>0</v>
      </c>
    </row>
    <row r="155" spans="15:25" x14ac:dyDescent="0.35">
      <c r="O155" s="8"/>
      <c r="Q155" s="27" t="s">
        <v>171</v>
      </c>
      <c r="R155" s="8"/>
      <c r="S155" s="145">
        <f>S109+IF($R$113="Yes",0,S117)+IF($R$126="Yes",0,S136)+IF($R$139="Yes",0,S148)</f>
        <v>0</v>
      </c>
      <c r="T155" s="115">
        <f>IF($R$113="Yes",0,T117)+IF($R$126="Yes",0,T136)</f>
        <v>0</v>
      </c>
      <c r="U155" s="115">
        <f>U109+IF($R$113="Yes",0,U117)</f>
        <v>0</v>
      </c>
      <c r="V155" s="115">
        <f>IF($R$113="Yes",0,V117)+IF($R$139="Yes",0,V149)</f>
        <v>0</v>
      </c>
      <c r="W155" s="115">
        <f>IF($R$113="Yes",0,W117)+IF($R$126="Yes",0,W136)</f>
        <v>0</v>
      </c>
    </row>
    <row r="156" spans="15:25" x14ac:dyDescent="0.35">
      <c r="O156" s="8"/>
      <c r="Q156" s="27"/>
      <c r="R156" s="8"/>
      <c r="S156" s="8"/>
      <c r="T156" s="146">
        <f t="shared" ref="T156:W156" si="34">COUNTIF(T153:T155,"&lt;&gt;0")</f>
        <v>0</v>
      </c>
      <c r="U156" s="146">
        <f t="shared" si="34"/>
        <v>0</v>
      </c>
      <c r="V156" s="146">
        <f t="shared" si="34"/>
        <v>0</v>
      </c>
      <c r="W156" s="146">
        <f t="shared" si="34"/>
        <v>0</v>
      </c>
    </row>
    <row r="157" spans="15:25" x14ac:dyDescent="0.35">
      <c r="O157" s="8"/>
      <c r="Q157" s="27" t="s">
        <v>176</v>
      </c>
      <c r="R157" s="8"/>
      <c r="S157" s="8"/>
      <c r="T157" s="46">
        <f>IFERROR(((IFERROR(T153/$S$153,0)+IFERROR(T154/$S$154,0)+IFERROR(T155/$S$155,0))/T156),0)</f>
        <v>0</v>
      </c>
      <c r="U157" s="46">
        <f>IFERROR(((IFERROR(U153/$S$153,0)+IFERROR(U154/$S$154,0)+IFERROR(U155/$S$155,0))/U156),0)</f>
        <v>0</v>
      </c>
      <c r="V157" s="46">
        <f t="shared" ref="V157:W157" si="35">IFERROR(((IFERROR(V153/$S$153,0)+IFERROR(V154/$S$154,0)+IFERROR(V155/$S$155,0))/V156),0)</f>
        <v>0</v>
      </c>
      <c r="W157" s="46">
        <f t="shared" si="35"/>
        <v>0</v>
      </c>
      <c r="X157" s="13"/>
      <c r="Y157" s="13"/>
    </row>
    <row r="158" spans="15:25" x14ac:dyDescent="0.35">
      <c r="O158" s="8"/>
      <c r="Q158" s="4" t="s">
        <v>80</v>
      </c>
      <c r="R158" s="8"/>
      <c r="S158" s="161">
        <f>S100+IF($R$139="Yes",0,S140)+IF($R$113="Yes",0,S118)+IF($R$126="Yes",0,S127)</f>
        <v>0</v>
      </c>
      <c r="T158" s="144">
        <f>T157*$S$158</f>
        <v>0</v>
      </c>
      <c r="U158" s="144">
        <f>U157*$S$158</f>
        <v>0</v>
      </c>
      <c r="V158" s="144">
        <f>V157*$S$158</f>
        <v>0</v>
      </c>
      <c r="W158" s="144">
        <f t="shared" ref="W158" si="36">W157*$S$158</f>
        <v>0</v>
      </c>
    </row>
    <row r="159" spans="15:25" x14ac:dyDescent="0.35">
      <c r="O159" s="8"/>
      <c r="Q159" s="4" t="s">
        <v>81</v>
      </c>
      <c r="R159" s="8"/>
      <c r="S159" s="161">
        <f>IF($R$139="Yes",0,S141)+IF($R$113="Yes",0,S119)+IF($R$126="Yes",0,S128)</f>
        <v>0</v>
      </c>
      <c r="T159" s="144">
        <f>T157*$S$159</f>
        <v>0</v>
      </c>
      <c r="U159" s="144">
        <f t="shared" ref="U159:W159" si="37">U157*$S$159</f>
        <v>0</v>
      </c>
      <c r="V159" s="144">
        <f t="shared" si="37"/>
        <v>0</v>
      </c>
      <c r="W159" s="144">
        <f t="shared" si="37"/>
        <v>0</v>
      </c>
    </row>
    <row r="160" spans="15:25" x14ac:dyDescent="0.35">
      <c r="O160" s="8"/>
      <c r="Q160" s="4" t="s">
        <v>183</v>
      </c>
      <c r="R160" s="8"/>
      <c r="S160" s="161">
        <f>IF($R$139="Yes",0,S142)+IF($R$113="Yes",0,S120)+IF($R$126="Yes",0,S129)</f>
        <v>0</v>
      </c>
      <c r="T160" s="144">
        <f>T157*$S$160</f>
        <v>0</v>
      </c>
      <c r="U160" s="144">
        <f t="shared" ref="U160:W160" si="38">U157*$S$160</f>
        <v>0</v>
      </c>
      <c r="V160" s="144">
        <f t="shared" si="38"/>
        <v>0</v>
      </c>
      <c r="W160" s="144">
        <f t="shared" si="38"/>
        <v>0</v>
      </c>
    </row>
    <row r="161" spans="15:24" x14ac:dyDescent="0.35">
      <c r="O161" s="8"/>
      <c r="Q161" s="4" t="s">
        <v>184</v>
      </c>
      <c r="R161" s="8"/>
      <c r="S161" s="161">
        <f>S103+IF($R$139="Yes",0,S143)+IF($R$113="Yes",0,S121)+IF($R$126="Yes",0,S130)</f>
        <v>0</v>
      </c>
      <c r="T161" s="144">
        <f>T157*$S$161</f>
        <v>0</v>
      </c>
      <c r="U161" s="144">
        <f t="shared" ref="U161:V161" si="39">U157*$S$161</f>
        <v>0</v>
      </c>
      <c r="V161" s="144">
        <f t="shared" si="39"/>
        <v>0</v>
      </c>
      <c r="W161" s="144">
        <f>W157*$S$161</f>
        <v>0</v>
      </c>
      <c r="X161" s="13"/>
    </row>
    <row r="162" spans="15:24" x14ac:dyDescent="0.35">
      <c r="O162" s="8"/>
      <c r="Q162" s="27" t="s">
        <v>202</v>
      </c>
      <c r="R162" s="8"/>
      <c r="S162" s="161">
        <f>S104+IF($R$139="Yes",0,S144)+IF($R$113="Yes",0,S122)+IF($R$126="Yes",0,S131)</f>
        <v>0</v>
      </c>
      <c r="T162" s="144">
        <f>T157*$S$162</f>
        <v>0</v>
      </c>
      <c r="U162" s="144">
        <f t="shared" ref="U162:W162" si="40">U157*$S$162</f>
        <v>0</v>
      </c>
      <c r="V162" s="144">
        <f t="shared" si="40"/>
        <v>0</v>
      </c>
      <c r="W162" s="144">
        <f t="shared" si="40"/>
        <v>0</v>
      </c>
    </row>
    <row r="163" spans="15:24" x14ac:dyDescent="0.35">
      <c r="O163" s="8"/>
      <c r="Q163" s="110" t="s">
        <v>203</v>
      </c>
      <c r="R163" s="8"/>
      <c r="S163" s="149">
        <f>IF(R113="Yes",S122,0)</f>
        <v>0</v>
      </c>
      <c r="T163" s="149">
        <f>IF($R$113="Yes",T122,0)</f>
        <v>0</v>
      </c>
      <c r="U163" s="149">
        <f>IF($R$113="Yes",U122,0)</f>
        <v>0</v>
      </c>
      <c r="V163" s="149">
        <f>IF($R$113="Yes",V122,0)</f>
        <v>0</v>
      </c>
      <c r="W163" s="149">
        <f>IF($R$113="Yes",W122,0)</f>
        <v>0</v>
      </c>
    </row>
    <row r="164" spans="15:24" x14ac:dyDescent="0.35">
      <c r="O164" s="8"/>
      <c r="Q164" s="110" t="s">
        <v>204</v>
      </c>
      <c r="R164" s="8"/>
      <c r="S164" s="149">
        <f>IF(R126="Yes",S131,0)</f>
        <v>0</v>
      </c>
      <c r="T164" s="149">
        <f>IF($R$126="Yes",T131,0)</f>
        <v>0</v>
      </c>
      <c r="U164" s="108"/>
      <c r="V164" s="108"/>
      <c r="W164" s="149">
        <f>IF($R$126="Yes",W131,0)</f>
        <v>0</v>
      </c>
    </row>
    <row r="165" spans="15:24" x14ac:dyDescent="0.35">
      <c r="O165" s="8"/>
      <c r="Q165" s="110" t="s">
        <v>205</v>
      </c>
      <c r="R165" s="8"/>
      <c r="S165" s="149">
        <f>IF(R139="Yes",S144,0)</f>
        <v>0</v>
      </c>
      <c r="T165" s="108"/>
      <c r="U165" s="108"/>
      <c r="V165" s="149">
        <f>IF($R$139="Yes",V144,0)</f>
        <v>0</v>
      </c>
      <c r="W165" s="108"/>
    </row>
    <row r="166" spans="15:24" x14ac:dyDescent="0.35">
      <c r="O166" s="8"/>
      <c r="Q166" s="110" t="s">
        <v>207</v>
      </c>
      <c r="R166" s="8"/>
      <c r="S166" s="150">
        <f>S165+S164+S163</f>
        <v>0</v>
      </c>
      <c r="T166" s="149">
        <f>T164+T163</f>
        <v>0</v>
      </c>
      <c r="U166" s="149">
        <f>U163</f>
        <v>0</v>
      </c>
      <c r="V166" s="149">
        <f>V163+V165</f>
        <v>0</v>
      </c>
      <c r="W166" s="149">
        <f>W163+W164</f>
        <v>0</v>
      </c>
    </row>
    <row r="167" spans="15:24" x14ac:dyDescent="0.35">
      <c r="O167" s="8"/>
      <c r="Q167" s="27" t="s">
        <v>19</v>
      </c>
      <c r="R167" s="8"/>
      <c r="S167" s="169">
        <f>S166+S162</f>
        <v>0</v>
      </c>
      <c r="T167" s="12">
        <f t="shared" ref="T167:W167" si="41">T166+T162</f>
        <v>0</v>
      </c>
      <c r="U167" s="12">
        <f t="shared" si="41"/>
        <v>0</v>
      </c>
      <c r="V167" s="12">
        <f t="shared" si="41"/>
        <v>0</v>
      </c>
      <c r="W167" s="12">
        <f t="shared" si="41"/>
        <v>0</v>
      </c>
    </row>
    <row r="168" spans="15:24" x14ac:dyDescent="0.35">
      <c r="O168" s="8"/>
      <c r="Q168" s="4"/>
    </row>
    <row r="169" spans="15:24" x14ac:dyDescent="0.35">
      <c r="O169" s="8"/>
    </row>
    <row r="170" spans="15:24" x14ac:dyDescent="0.35">
      <c r="O170" s="8"/>
    </row>
    <row r="171" spans="15:24" ht="15" thickBot="1" x14ac:dyDescent="0.4">
      <c r="O171" s="8"/>
      <c r="S171" s="170" t="s">
        <v>120</v>
      </c>
      <c r="T171" s="171" t="s">
        <v>36</v>
      </c>
      <c r="U171" s="171" t="s">
        <v>37</v>
      </c>
      <c r="V171" s="171" t="s">
        <v>38</v>
      </c>
      <c r="W171" s="171" t="s">
        <v>39</v>
      </c>
    </row>
    <row r="172" spans="15:24" x14ac:dyDescent="0.35">
      <c r="O172" s="8"/>
      <c r="Q172" s="4" t="s">
        <v>80</v>
      </c>
      <c r="S172" s="234">
        <f>S100+S118+S127+S140</f>
        <v>0</v>
      </c>
      <c r="T172" s="41">
        <f>IF(R113="Yes",T118,0)+IF(R126="Yes",T127,0)+T158</f>
        <v>0</v>
      </c>
      <c r="U172" s="41">
        <f>IF($R$113="Yes",U118,0)+U158</f>
        <v>0</v>
      </c>
      <c r="V172" s="41">
        <f>IF($R$113="Yes",V118,0)+V158+IF($R$139="Yes",V140,0)</f>
        <v>0</v>
      </c>
      <c r="W172" s="41">
        <f>IF($R$113="Yes",W118,0)+IF($R$126="Yes",W127,0)+W158</f>
        <v>0</v>
      </c>
    </row>
    <row r="173" spans="15:24" x14ac:dyDescent="0.35">
      <c r="O173" s="8"/>
      <c r="Q173" s="4" t="s">
        <v>81</v>
      </c>
      <c r="S173" s="234">
        <f>S119++S128+S141</f>
        <v>0</v>
      </c>
      <c r="T173" s="41">
        <f t="shared" ref="T173:T174" si="42">IF(R114="Yes",T119,0)+IF(R127="Yes",T128,0)+T159</f>
        <v>0</v>
      </c>
      <c r="U173" s="41">
        <f t="shared" ref="U173:U174" si="43">IF($R$113="Yes",U119,0)+U159</f>
        <v>0</v>
      </c>
      <c r="V173" s="41">
        <f t="shared" ref="V173:V174" si="44">IF($R$113="Yes",V119,0)+V159+IF($R$139="Yes",V141,0)</f>
        <v>0</v>
      </c>
      <c r="W173" s="41">
        <f t="shared" ref="W173:W174" si="45">IF($R$113="Yes",W119,0)+IF($R$126="Yes",W128,0)+W159</f>
        <v>0</v>
      </c>
    </row>
    <row r="174" spans="15:24" x14ac:dyDescent="0.35">
      <c r="O174" s="8"/>
      <c r="Q174" s="4" t="s">
        <v>83</v>
      </c>
      <c r="S174" s="234">
        <f>S120++S129+S142</f>
        <v>0</v>
      </c>
      <c r="T174" s="41">
        <f t="shared" si="42"/>
        <v>0</v>
      </c>
      <c r="U174" s="41">
        <f t="shared" si="43"/>
        <v>0</v>
      </c>
      <c r="V174" s="41">
        <f t="shared" si="44"/>
        <v>0</v>
      </c>
      <c r="W174" s="41">
        <f t="shared" si="45"/>
        <v>0</v>
      </c>
    </row>
    <row r="175" spans="15:24" x14ac:dyDescent="0.35">
      <c r="O175" s="8"/>
      <c r="Q175" s="8" t="s">
        <v>223</v>
      </c>
      <c r="R175" s="8"/>
      <c r="S175" s="244">
        <f>T175+U175+V175+W175</f>
        <v>75000</v>
      </c>
      <c r="T175" s="243"/>
      <c r="U175" s="243">
        <v>75000</v>
      </c>
      <c r="V175" s="243"/>
      <c r="W175" s="243"/>
    </row>
    <row r="176" spans="15:24" x14ac:dyDescent="0.35">
      <c r="O176" s="8"/>
      <c r="Q176" s="4" t="s">
        <v>122</v>
      </c>
      <c r="S176" s="234">
        <f>SUM(S172:S175)</f>
        <v>75000</v>
      </c>
      <c r="T176" s="234">
        <f t="shared" ref="T176:W176" si="46">SUM(T172:T175)</f>
        <v>0</v>
      </c>
      <c r="U176" s="234">
        <f t="shared" si="46"/>
        <v>75000</v>
      </c>
      <c r="V176" s="234">
        <f t="shared" si="46"/>
        <v>0</v>
      </c>
      <c r="W176" s="234">
        <f t="shared" si="46"/>
        <v>0</v>
      </c>
    </row>
    <row r="177" spans="15:23" ht="15" thickBot="1" x14ac:dyDescent="0.4">
      <c r="O177" s="8"/>
      <c r="Q177" s="4" t="s">
        <v>220</v>
      </c>
      <c r="R177" s="17">
        <f>J106</f>
        <v>0</v>
      </c>
      <c r="S177" s="41">
        <f>MAX(0,S176*R177)</f>
        <v>0</v>
      </c>
    </row>
    <row r="178" spans="15:23" ht="15" thickBot="1" x14ac:dyDescent="0.4">
      <c r="O178" s="8"/>
      <c r="Q178" s="4" t="s">
        <v>125</v>
      </c>
      <c r="T178" s="174"/>
      <c r="V178" s="70">
        <f>N107</f>
        <v>0</v>
      </c>
      <c r="W178" s="174"/>
    </row>
    <row r="179" spans="15:23" x14ac:dyDescent="0.35">
      <c r="O179" s="8"/>
      <c r="Q179" s="4" t="s">
        <v>126</v>
      </c>
      <c r="S179" s="41">
        <f>T179+U179+V179+W179</f>
        <v>0</v>
      </c>
      <c r="T179" s="39">
        <f>MIN($S$177,MAX(T178*T176,0))</f>
        <v>0</v>
      </c>
      <c r="V179" s="39">
        <f>MIN(MAX(V176*R177,0),MAX(V178*V176,0))</f>
        <v>0</v>
      </c>
      <c r="W179" s="39">
        <f>MIN($S$177,MAX(W178*W176,0))</f>
        <v>0</v>
      </c>
    </row>
    <row r="180" spans="15:23" x14ac:dyDescent="0.35">
      <c r="O180" s="8"/>
      <c r="Q180" s="4" t="s">
        <v>127</v>
      </c>
      <c r="S180" s="41">
        <f>MAX(0,S177-S179)</f>
        <v>0</v>
      </c>
    </row>
    <row r="181" spans="15:23" x14ac:dyDescent="0.35">
      <c r="O181" s="8"/>
      <c r="Q181" s="4" t="s">
        <v>128</v>
      </c>
      <c r="S181" s="41">
        <f>S121+S103+S143+S130</f>
        <v>0</v>
      </c>
      <c r="T181" s="41">
        <f>IF(R113="Yes",T121,0)+IF(R126="Yes",T130,0)+T161</f>
        <v>0</v>
      </c>
      <c r="V181" s="41">
        <f>IF($R$113="Yes",V121,0)+V161+IF($R$139="Yes",V143,0)</f>
        <v>0</v>
      </c>
      <c r="W181" s="41">
        <f>IF($R$113="Yes",W121,0)+IF($R$126="Yes",W130,0)+W161</f>
        <v>0</v>
      </c>
    </row>
    <row r="182" spans="15:23" ht="15" thickBot="1" x14ac:dyDescent="0.4">
      <c r="O182" s="8"/>
      <c r="Q182" s="4" t="s">
        <v>221</v>
      </c>
      <c r="R182" s="17">
        <f>J111</f>
        <v>0</v>
      </c>
      <c r="S182" s="41">
        <f>MAX(0,S181*R182)</f>
        <v>0</v>
      </c>
    </row>
    <row r="183" spans="15:23" ht="15" thickBot="1" x14ac:dyDescent="0.4">
      <c r="O183" s="8"/>
      <c r="Q183" s="4" t="s">
        <v>125</v>
      </c>
      <c r="T183" s="174"/>
      <c r="V183" s="40">
        <f>N112</f>
        <v>0</v>
      </c>
      <c r="W183" s="126"/>
    </row>
    <row r="184" spans="15:23" x14ac:dyDescent="0.35">
      <c r="O184" s="8"/>
      <c r="Q184" s="4" t="s">
        <v>126</v>
      </c>
      <c r="S184" s="41">
        <f>T184+U184+V184+W184</f>
        <v>0</v>
      </c>
      <c r="T184" s="39">
        <f>MIN($S$182,MAX(T183*T181,0))</f>
        <v>0</v>
      </c>
      <c r="V184" s="39">
        <f>MIN($S$182,MAX(V183*V181,0))</f>
        <v>0</v>
      </c>
      <c r="W184" s="39">
        <f>MIN($S$182,MAX(W183*W181,0))</f>
        <v>0</v>
      </c>
    </row>
    <row r="185" spans="15:23" x14ac:dyDescent="0.35">
      <c r="O185" s="8"/>
      <c r="Q185" s="4" t="s">
        <v>130</v>
      </c>
      <c r="S185" s="41">
        <f>MAX(0,S182-S184)</f>
        <v>0</v>
      </c>
    </row>
    <row r="186" spans="15:23" x14ac:dyDescent="0.35">
      <c r="O186" s="8"/>
      <c r="Q186" s="4" t="s">
        <v>132</v>
      </c>
      <c r="S186" s="74">
        <f>U186+V186+W186+T186</f>
        <v>0</v>
      </c>
      <c r="T186" s="74">
        <f>(T178*T176)+(T183*T181)</f>
        <v>0</v>
      </c>
      <c r="U186" s="74">
        <f>S185+S180</f>
        <v>0</v>
      </c>
      <c r="V186" s="74">
        <f>(V178*V176)+(V183*V181)</f>
        <v>0</v>
      </c>
      <c r="W186" s="74">
        <f>(W178*W176)+(W183*W181)</f>
        <v>0</v>
      </c>
    </row>
    <row r="187" spans="15:23" x14ac:dyDescent="0.35">
      <c r="O187" s="8"/>
      <c r="W187" s="8"/>
    </row>
    <row r="188" spans="15:23" x14ac:dyDescent="0.35">
      <c r="O188" s="8"/>
    </row>
    <row r="189" spans="15:23" x14ac:dyDescent="0.35">
      <c r="O189" s="8"/>
      <c r="S189" s="13"/>
    </row>
    <row r="190" spans="15:23" x14ac:dyDescent="0.35">
      <c r="O190" s="8"/>
    </row>
    <row r="191" spans="15:23" x14ac:dyDescent="0.35">
      <c r="O191" s="8"/>
    </row>
    <row r="192" spans="15:23" x14ac:dyDescent="0.35">
      <c r="O192" s="8"/>
    </row>
    <row r="193" spans="15:15" x14ac:dyDescent="0.35">
      <c r="O193" s="8"/>
    </row>
    <row r="194" spans="15:15" x14ac:dyDescent="0.35">
      <c r="O194" s="8"/>
    </row>
    <row r="195" spans="15:15" x14ac:dyDescent="0.35">
      <c r="O195" s="8"/>
    </row>
    <row r="196" spans="15:15" x14ac:dyDescent="0.35">
      <c r="O196" s="8"/>
    </row>
    <row r="197" spans="15:15" x14ac:dyDescent="0.35">
      <c r="O197" s="8"/>
    </row>
    <row r="198" spans="15:15" x14ac:dyDescent="0.35">
      <c r="O198" s="8"/>
    </row>
    <row r="199" spans="15:15" x14ac:dyDescent="0.35">
      <c r="O199" s="8"/>
    </row>
    <row r="200" spans="15:15" x14ac:dyDescent="0.35">
      <c r="O200" s="8"/>
    </row>
    <row r="201" spans="15:15" x14ac:dyDescent="0.35">
      <c r="O201" s="8"/>
    </row>
    <row r="202" spans="15:15" x14ac:dyDescent="0.35">
      <c r="O202" s="8"/>
    </row>
    <row r="203" spans="15:15" x14ac:dyDescent="0.35">
      <c r="O203" s="8"/>
    </row>
    <row r="204" spans="15:15" x14ac:dyDescent="0.35">
      <c r="O204" s="8"/>
    </row>
    <row r="205" spans="15:15" x14ac:dyDescent="0.35">
      <c r="O205" s="8"/>
    </row>
    <row r="206" spans="15:15" x14ac:dyDescent="0.35">
      <c r="O206" s="8"/>
    </row>
    <row r="207" spans="15:15" x14ac:dyDescent="0.35">
      <c r="O207" s="8"/>
    </row>
    <row r="208" spans="15:15" x14ac:dyDescent="0.35">
      <c r="O208" s="8"/>
    </row>
    <row r="209" spans="15:15" x14ac:dyDescent="0.35">
      <c r="O209" s="8"/>
    </row>
    <row r="210" spans="15:15" x14ac:dyDescent="0.35">
      <c r="O210" s="8"/>
    </row>
    <row r="211" spans="15:15" x14ac:dyDescent="0.35">
      <c r="O211" s="8"/>
    </row>
    <row r="212" spans="15:15" x14ac:dyDescent="0.35">
      <c r="O212" s="8"/>
    </row>
    <row r="213" spans="15:15" x14ac:dyDescent="0.35">
      <c r="O213" s="8"/>
    </row>
    <row r="214" spans="15:15" x14ac:dyDescent="0.35">
      <c r="O214" s="8"/>
    </row>
    <row r="215" spans="15:15" x14ac:dyDescent="0.35">
      <c r="O215" s="8"/>
    </row>
    <row r="216" spans="15:15" x14ac:dyDescent="0.35">
      <c r="O216" s="8"/>
    </row>
    <row r="217" spans="15:15" x14ac:dyDescent="0.35">
      <c r="O217" s="8"/>
    </row>
    <row r="218" spans="15:15" x14ac:dyDescent="0.35">
      <c r="O218" s="8"/>
    </row>
    <row r="219" spans="15:15" x14ac:dyDescent="0.35">
      <c r="O219" s="8"/>
    </row>
    <row r="220" spans="15:15" x14ac:dyDescent="0.35">
      <c r="O220" s="8"/>
    </row>
    <row r="221" spans="15:15" x14ac:dyDescent="0.35">
      <c r="O221" s="8"/>
    </row>
    <row r="222" spans="15:15" x14ac:dyDescent="0.35">
      <c r="O222" s="8"/>
    </row>
    <row r="223" spans="15:15" x14ac:dyDescent="0.35">
      <c r="O223" s="8"/>
    </row>
    <row r="224" spans="15:15" x14ac:dyDescent="0.35">
      <c r="O224" s="8"/>
    </row>
    <row r="225" spans="15:15" x14ac:dyDescent="0.35">
      <c r="O225" s="8"/>
    </row>
    <row r="226" spans="15:15" x14ac:dyDescent="0.35">
      <c r="O226" s="8"/>
    </row>
    <row r="227" spans="15:15" x14ac:dyDescent="0.35">
      <c r="O227" s="8"/>
    </row>
    <row r="228" spans="15:15" x14ac:dyDescent="0.35">
      <c r="O228" s="8"/>
    </row>
    <row r="229" spans="15:15" x14ac:dyDescent="0.35">
      <c r="O229" s="8"/>
    </row>
    <row r="230" spans="15:15" x14ac:dyDescent="0.35">
      <c r="O230" s="8"/>
    </row>
    <row r="231" spans="15:15" x14ac:dyDescent="0.35">
      <c r="O231" s="8"/>
    </row>
    <row r="232" spans="15:15" x14ac:dyDescent="0.35">
      <c r="O232" s="8"/>
    </row>
    <row r="233" spans="15:15" x14ac:dyDescent="0.35">
      <c r="O233" s="8"/>
    </row>
    <row r="234" spans="15:15" x14ac:dyDescent="0.35">
      <c r="O234" s="8"/>
    </row>
    <row r="235" spans="15:15" x14ac:dyDescent="0.35">
      <c r="O235" s="8"/>
    </row>
    <row r="236" spans="15:15" x14ac:dyDescent="0.35">
      <c r="O236" s="8"/>
    </row>
    <row r="237" spans="15:15" x14ac:dyDescent="0.35">
      <c r="O237" s="8"/>
    </row>
    <row r="238" spans="15:15" x14ac:dyDescent="0.35">
      <c r="O238" s="8"/>
    </row>
    <row r="239" spans="15:15" x14ac:dyDescent="0.35">
      <c r="O239" s="8"/>
    </row>
    <row r="240" spans="15:15" x14ac:dyDescent="0.35">
      <c r="O240" s="8"/>
    </row>
    <row r="241" spans="15:15" x14ac:dyDescent="0.35">
      <c r="O241" s="8"/>
    </row>
    <row r="242" spans="15:15" x14ac:dyDescent="0.35">
      <c r="O242" s="8"/>
    </row>
    <row r="243" spans="15:15" x14ac:dyDescent="0.35">
      <c r="O243" s="8"/>
    </row>
    <row r="244" spans="15:15" x14ac:dyDescent="0.35">
      <c r="O244" s="8"/>
    </row>
    <row r="245" spans="15:15" x14ac:dyDescent="0.35">
      <c r="O245" s="8"/>
    </row>
    <row r="246" spans="15:15" x14ac:dyDescent="0.35">
      <c r="O246" s="8"/>
    </row>
    <row r="247" spans="15:15" x14ac:dyDescent="0.35">
      <c r="O247" s="8"/>
    </row>
    <row r="248" spans="15:15" x14ac:dyDescent="0.35">
      <c r="O248" s="8"/>
    </row>
    <row r="249" spans="15:15" x14ac:dyDescent="0.35">
      <c r="O249" s="8"/>
    </row>
    <row r="250" spans="15:15" x14ac:dyDescent="0.35">
      <c r="O250" s="8"/>
    </row>
    <row r="251" spans="15:15" x14ac:dyDescent="0.35">
      <c r="O251" s="8"/>
    </row>
    <row r="252" spans="15:15" x14ac:dyDescent="0.35">
      <c r="O252" s="8"/>
    </row>
    <row r="253" spans="15:15" x14ac:dyDescent="0.35">
      <c r="O253" s="8"/>
    </row>
    <row r="254" spans="15:15" x14ac:dyDescent="0.35">
      <c r="O254" s="8"/>
    </row>
    <row r="255" spans="15:15" x14ac:dyDescent="0.35">
      <c r="O255" s="8"/>
    </row>
    <row r="256" spans="15:15" x14ac:dyDescent="0.35">
      <c r="O256" s="8"/>
    </row>
    <row r="257" spans="15:15" x14ac:dyDescent="0.35">
      <c r="O257" s="8"/>
    </row>
    <row r="258" spans="15:15" x14ac:dyDescent="0.35">
      <c r="O258" s="8"/>
    </row>
    <row r="259" spans="15:15" x14ac:dyDescent="0.35">
      <c r="O259" s="8"/>
    </row>
    <row r="260" spans="15:15" x14ac:dyDescent="0.35">
      <c r="O260" s="8"/>
    </row>
    <row r="261" spans="15:15" x14ac:dyDescent="0.35">
      <c r="O261" s="8"/>
    </row>
    <row r="262" spans="15:15" x14ac:dyDescent="0.35">
      <c r="O262" s="8"/>
    </row>
    <row r="263" spans="15:15" x14ac:dyDescent="0.35">
      <c r="O263" s="8"/>
    </row>
    <row r="264" spans="15:15" x14ac:dyDescent="0.35">
      <c r="O264" s="8"/>
    </row>
    <row r="265" spans="15:15" x14ac:dyDescent="0.35">
      <c r="O265" s="8"/>
    </row>
    <row r="266" spans="15:15" x14ac:dyDescent="0.35">
      <c r="O266" s="8"/>
    </row>
    <row r="267" spans="15:15" x14ac:dyDescent="0.35">
      <c r="O267" s="8"/>
    </row>
    <row r="268" spans="15:15" x14ac:dyDescent="0.35">
      <c r="O268" s="8"/>
    </row>
    <row r="269" spans="15:15" x14ac:dyDescent="0.35">
      <c r="O269" s="8"/>
    </row>
    <row r="270" spans="15:15" x14ac:dyDescent="0.35">
      <c r="O270" s="8"/>
    </row>
    <row r="271" spans="15:15" x14ac:dyDescent="0.35">
      <c r="O271" s="8"/>
    </row>
    <row r="272" spans="15:15" x14ac:dyDescent="0.35">
      <c r="O272" s="8"/>
    </row>
    <row r="273" spans="15:15" x14ac:dyDescent="0.35">
      <c r="O273" s="8"/>
    </row>
    <row r="274" spans="15:15" x14ac:dyDescent="0.35">
      <c r="O274" s="8"/>
    </row>
    <row r="275" spans="15:15" x14ac:dyDescent="0.35">
      <c r="O275" s="8"/>
    </row>
    <row r="276" spans="15:15" x14ac:dyDescent="0.35">
      <c r="O276" s="8"/>
    </row>
    <row r="277" spans="15:15" x14ac:dyDescent="0.35">
      <c r="O277" s="8"/>
    </row>
    <row r="278" spans="15:15" x14ac:dyDescent="0.35">
      <c r="O278" s="8"/>
    </row>
    <row r="279" spans="15:15" x14ac:dyDescent="0.35">
      <c r="O279" s="8"/>
    </row>
    <row r="280" spans="15:15" x14ac:dyDescent="0.35">
      <c r="O280" s="8"/>
    </row>
    <row r="281" spans="15:15" x14ac:dyDescent="0.35">
      <c r="O281" s="8"/>
    </row>
    <row r="282" spans="15:15" x14ac:dyDescent="0.35">
      <c r="O282" s="8"/>
    </row>
    <row r="283" spans="15:15" x14ac:dyDescent="0.35">
      <c r="O283" s="8"/>
    </row>
    <row r="284" spans="15:15" x14ac:dyDescent="0.35">
      <c r="O284" s="8"/>
    </row>
    <row r="285" spans="15:15" x14ac:dyDescent="0.35">
      <c r="O285" s="8"/>
    </row>
    <row r="286" spans="15:15" x14ac:dyDescent="0.35">
      <c r="O286" s="8"/>
    </row>
    <row r="287" spans="15:15" x14ac:dyDescent="0.35">
      <c r="O287" s="8"/>
    </row>
    <row r="288" spans="15:15" x14ac:dyDescent="0.35">
      <c r="O288" s="8"/>
    </row>
    <row r="289" spans="15:15" x14ac:dyDescent="0.35">
      <c r="O289" s="8"/>
    </row>
    <row r="290" spans="15:15" x14ac:dyDescent="0.35">
      <c r="O290" s="8"/>
    </row>
    <row r="291" spans="15:15" x14ac:dyDescent="0.35">
      <c r="O291" s="8"/>
    </row>
    <row r="292" spans="15:15" x14ac:dyDescent="0.35">
      <c r="O292" s="8"/>
    </row>
    <row r="293" spans="15:15" x14ac:dyDescent="0.35">
      <c r="O293" s="8"/>
    </row>
    <row r="294" spans="15:15" x14ac:dyDescent="0.35">
      <c r="O294" s="8"/>
    </row>
    <row r="295" spans="15:15" x14ac:dyDescent="0.35">
      <c r="O295" s="8"/>
    </row>
    <row r="296" spans="15:15" x14ac:dyDescent="0.35">
      <c r="O296" s="8"/>
    </row>
    <row r="297" spans="15:15" x14ac:dyDescent="0.35">
      <c r="O297" s="8"/>
    </row>
    <row r="298" spans="15:15" x14ac:dyDescent="0.35">
      <c r="O298" s="8"/>
    </row>
    <row r="299" spans="15:15" x14ac:dyDescent="0.35">
      <c r="O299" s="8"/>
    </row>
    <row r="300" spans="15:15" x14ac:dyDescent="0.35">
      <c r="O300" s="8"/>
    </row>
    <row r="301" spans="15:15" x14ac:dyDescent="0.35">
      <c r="O301" s="8"/>
    </row>
    <row r="302" spans="15:15" x14ac:dyDescent="0.35">
      <c r="O302" s="8"/>
    </row>
    <row r="303" spans="15:15" x14ac:dyDescent="0.35">
      <c r="O303" s="8"/>
    </row>
    <row r="304" spans="15:15" x14ac:dyDescent="0.35">
      <c r="O304" s="8"/>
    </row>
    <row r="305" spans="15:15" x14ac:dyDescent="0.35">
      <c r="O305" s="8"/>
    </row>
    <row r="306" spans="15:15" x14ac:dyDescent="0.35">
      <c r="O306" s="8"/>
    </row>
    <row r="307" spans="15:15" x14ac:dyDescent="0.35">
      <c r="O307" s="8"/>
    </row>
    <row r="308" spans="15:15" x14ac:dyDescent="0.35">
      <c r="O308" s="8"/>
    </row>
    <row r="309" spans="15:15" x14ac:dyDescent="0.35">
      <c r="O309" s="8"/>
    </row>
    <row r="310" spans="15:15" x14ac:dyDescent="0.35">
      <c r="O310" s="8"/>
    </row>
    <row r="311" spans="15:15" x14ac:dyDescent="0.35">
      <c r="O311" s="8"/>
    </row>
    <row r="312" spans="15:15" x14ac:dyDescent="0.35">
      <c r="O312" s="8"/>
    </row>
    <row r="313" spans="15:15" x14ac:dyDescent="0.35">
      <c r="O313" s="8"/>
    </row>
    <row r="314" spans="15:15" x14ac:dyDescent="0.35">
      <c r="O314" s="8"/>
    </row>
    <row r="315" spans="15:15" x14ac:dyDescent="0.35">
      <c r="O315" s="8"/>
    </row>
    <row r="316" spans="15:15" x14ac:dyDescent="0.35">
      <c r="O316" s="8"/>
    </row>
    <row r="317" spans="15:15" x14ac:dyDescent="0.35">
      <c r="O317" s="8"/>
    </row>
    <row r="318" spans="15:15" x14ac:dyDescent="0.35">
      <c r="O318" s="8"/>
    </row>
    <row r="319" spans="15:15" x14ac:dyDescent="0.35">
      <c r="O319" s="8"/>
    </row>
    <row r="320" spans="15:15" x14ac:dyDescent="0.35">
      <c r="O320" s="8"/>
    </row>
    <row r="321" spans="15:15" x14ac:dyDescent="0.35">
      <c r="O321" s="8"/>
    </row>
    <row r="322" spans="15:15" x14ac:dyDescent="0.35">
      <c r="O322" s="8"/>
    </row>
    <row r="323" spans="15:15" x14ac:dyDescent="0.35">
      <c r="O323" s="8"/>
    </row>
    <row r="324" spans="15:15" x14ac:dyDescent="0.35">
      <c r="O324" s="8"/>
    </row>
    <row r="325" spans="15:15" x14ac:dyDescent="0.35">
      <c r="O325" s="8"/>
    </row>
    <row r="326" spans="15:15" x14ac:dyDescent="0.35">
      <c r="O326" s="8"/>
    </row>
    <row r="327" spans="15:15" x14ac:dyDescent="0.35">
      <c r="O327" s="8"/>
    </row>
    <row r="328" spans="15:15" x14ac:dyDescent="0.35">
      <c r="O328" s="8"/>
    </row>
    <row r="329" spans="15:15" x14ac:dyDescent="0.35">
      <c r="O329" s="8"/>
    </row>
    <row r="330" spans="15:15" x14ac:dyDescent="0.35">
      <c r="O330" s="8"/>
    </row>
    <row r="331" spans="15:15" x14ac:dyDescent="0.35">
      <c r="O331" s="8"/>
    </row>
    <row r="332" spans="15:15" x14ac:dyDescent="0.35">
      <c r="O332" s="8"/>
    </row>
    <row r="333" spans="15:15" x14ac:dyDescent="0.35">
      <c r="O333" s="8"/>
    </row>
    <row r="334" spans="15:15" x14ac:dyDescent="0.35">
      <c r="O334" s="8"/>
    </row>
    <row r="335" spans="15:15" x14ac:dyDescent="0.35">
      <c r="O335" s="8"/>
    </row>
    <row r="336" spans="15:15" x14ac:dyDescent="0.35">
      <c r="O336" s="8"/>
    </row>
    <row r="337" spans="15:15" x14ac:dyDescent="0.35">
      <c r="O337" s="8"/>
    </row>
    <row r="338" spans="15:15" x14ac:dyDescent="0.35">
      <c r="O338" s="8"/>
    </row>
    <row r="339" spans="15:15" x14ac:dyDescent="0.35">
      <c r="O339" s="8"/>
    </row>
    <row r="340" spans="15:15" x14ac:dyDescent="0.35">
      <c r="O340" s="8"/>
    </row>
    <row r="341" spans="15:15" x14ac:dyDescent="0.35">
      <c r="O341" s="8"/>
    </row>
    <row r="342" spans="15:15" x14ac:dyDescent="0.35">
      <c r="O342" s="8"/>
    </row>
    <row r="343" spans="15:15" x14ac:dyDescent="0.35">
      <c r="O343" s="8"/>
    </row>
    <row r="344" spans="15:15" x14ac:dyDescent="0.35">
      <c r="O344" s="8"/>
    </row>
    <row r="345" spans="15:15" x14ac:dyDescent="0.35">
      <c r="O345" s="8"/>
    </row>
    <row r="346" spans="15:15" x14ac:dyDescent="0.35">
      <c r="O346" s="8"/>
    </row>
    <row r="347" spans="15:15" x14ac:dyDescent="0.35">
      <c r="O347" s="8"/>
    </row>
    <row r="348" spans="15:15" x14ac:dyDescent="0.35">
      <c r="O348" s="8"/>
    </row>
    <row r="349" spans="15:15" x14ac:dyDescent="0.35">
      <c r="O349" s="8"/>
    </row>
    <row r="350" spans="15:15" x14ac:dyDescent="0.35">
      <c r="O350" s="8"/>
    </row>
    <row r="351" spans="15:15" x14ac:dyDescent="0.35">
      <c r="O351" s="8"/>
    </row>
    <row r="352" spans="15:15" x14ac:dyDescent="0.35">
      <c r="O352" s="8"/>
    </row>
    <row r="353" spans="15:15" x14ac:dyDescent="0.35">
      <c r="O353" s="8"/>
    </row>
    <row r="354" spans="15:15" x14ac:dyDescent="0.35">
      <c r="O354" s="8"/>
    </row>
    <row r="355" spans="15:15" x14ac:dyDescent="0.35">
      <c r="O355" s="8"/>
    </row>
    <row r="356" spans="15:15" x14ac:dyDescent="0.35">
      <c r="O356" s="8"/>
    </row>
    <row r="357" spans="15:15" x14ac:dyDescent="0.35">
      <c r="O357" s="8"/>
    </row>
    <row r="358" spans="15:15" x14ac:dyDescent="0.35">
      <c r="O358" s="8"/>
    </row>
    <row r="359" spans="15:15" x14ac:dyDescent="0.35">
      <c r="O359" s="8"/>
    </row>
    <row r="360" spans="15:15" x14ac:dyDescent="0.35">
      <c r="O360" s="8"/>
    </row>
    <row r="361" spans="15:15" x14ac:dyDescent="0.35">
      <c r="O361" s="8"/>
    </row>
    <row r="362" spans="15:15" x14ac:dyDescent="0.35">
      <c r="O362" s="8"/>
    </row>
    <row r="363" spans="15:15" x14ac:dyDescent="0.35">
      <c r="O363" s="8"/>
    </row>
    <row r="364" spans="15:15" x14ac:dyDescent="0.35">
      <c r="O364" s="8"/>
    </row>
    <row r="365" spans="15:15" x14ac:dyDescent="0.35">
      <c r="O365" s="8"/>
    </row>
    <row r="366" spans="15:15" x14ac:dyDescent="0.35">
      <c r="O366" s="8"/>
    </row>
    <row r="367" spans="15:15" x14ac:dyDescent="0.35">
      <c r="O367" s="8"/>
    </row>
    <row r="368" spans="15:15" x14ac:dyDescent="0.35">
      <c r="O368" s="8"/>
    </row>
    <row r="369" spans="15:15" x14ac:dyDescent="0.35">
      <c r="O369" s="8"/>
    </row>
    <row r="370" spans="15:15" x14ac:dyDescent="0.35">
      <c r="O370" s="8"/>
    </row>
    <row r="371" spans="15:15" x14ac:dyDescent="0.35">
      <c r="O371" s="8"/>
    </row>
    <row r="372" spans="15:15" x14ac:dyDescent="0.35">
      <c r="O372" s="8"/>
    </row>
    <row r="373" spans="15:15" x14ac:dyDescent="0.35">
      <c r="O373" s="8"/>
    </row>
    <row r="374" spans="15:15" x14ac:dyDescent="0.35">
      <c r="O374" s="8"/>
    </row>
    <row r="375" spans="15:15" x14ac:dyDescent="0.35">
      <c r="O375" s="8"/>
    </row>
    <row r="376" spans="15:15" x14ac:dyDescent="0.35">
      <c r="O376" s="8"/>
    </row>
    <row r="377" spans="15:15" x14ac:dyDescent="0.35">
      <c r="O377" s="8"/>
    </row>
    <row r="378" spans="15:15" x14ac:dyDescent="0.35">
      <c r="O378" s="8"/>
    </row>
    <row r="379" spans="15:15" x14ac:dyDescent="0.35">
      <c r="O379" s="8"/>
    </row>
    <row r="380" spans="15:15" x14ac:dyDescent="0.35">
      <c r="O380" s="8"/>
    </row>
    <row r="381" spans="15:15" x14ac:dyDescent="0.35">
      <c r="O381" s="8"/>
    </row>
    <row r="382" spans="15:15" x14ac:dyDescent="0.35">
      <c r="O382" s="8"/>
    </row>
    <row r="383" spans="15:15" x14ac:dyDescent="0.35">
      <c r="O383" s="8"/>
    </row>
    <row r="384" spans="15:15" x14ac:dyDescent="0.35">
      <c r="O384" s="8"/>
    </row>
    <row r="385" spans="15:15" x14ac:dyDescent="0.35">
      <c r="O385" s="8"/>
    </row>
    <row r="386" spans="15:15" x14ac:dyDescent="0.35">
      <c r="O386" s="8"/>
    </row>
    <row r="387" spans="15:15" x14ac:dyDescent="0.35">
      <c r="O387" s="8"/>
    </row>
    <row r="388" spans="15:15" x14ac:dyDescent="0.35">
      <c r="O388" s="8"/>
    </row>
    <row r="389" spans="15:15" x14ac:dyDescent="0.35">
      <c r="O389" s="8"/>
    </row>
    <row r="390" spans="15:15" x14ac:dyDescent="0.35">
      <c r="O390" s="8"/>
    </row>
    <row r="391" spans="15:15" x14ac:dyDescent="0.35">
      <c r="O391" s="8"/>
    </row>
    <row r="392" spans="15:15" x14ac:dyDescent="0.35">
      <c r="O392" s="8"/>
    </row>
    <row r="393" spans="15:15" x14ac:dyDescent="0.35">
      <c r="O393" s="8"/>
    </row>
    <row r="394" spans="15:15" x14ac:dyDescent="0.35">
      <c r="O394" s="8"/>
    </row>
    <row r="395" spans="15:15" x14ac:dyDescent="0.35">
      <c r="O395" s="8"/>
    </row>
    <row r="396" spans="15:15" x14ac:dyDescent="0.35">
      <c r="O396" s="8"/>
    </row>
    <row r="397" spans="15:15" x14ac:dyDescent="0.35">
      <c r="O397" s="8"/>
    </row>
    <row r="398" spans="15:15" x14ac:dyDescent="0.35">
      <c r="O398" s="8"/>
    </row>
    <row r="399" spans="15:15" x14ac:dyDescent="0.35">
      <c r="O399" s="8"/>
    </row>
    <row r="400" spans="15:15" x14ac:dyDescent="0.35">
      <c r="O400" s="8"/>
    </row>
    <row r="401" spans="15:15" x14ac:dyDescent="0.35">
      <c r="O401" s="8"/>
    </row>
    <row r="402" spans="15:15" x14ac:dyDescent="0.35">
      <c r="O402" s="8"/>
    </row>
    <row r="403" spans="15:15" x14ac:dyDescent="0.35">
      <c r="O403" s="8"/>
    </row>
    <row r="404" spans="15:15" x14ac:dyDescent="0.35">
      <c r="O404" s="8"/>
    </row>
    <row r="405" spans="15:15" x14ac:dyDescent="0.35">
      <c r="O405" s="8"/>
    </row>
    <row r="406" spans="15:15" x14ac:dyDescent="0.35">
      <c r="O406" s="8"/>
    </row>
    <row r="407" spans="15:15" x14ac:dyDescent="0.35">
      <c r="O407" s="8"/>
    </row>
    <row r="408" spans="15:15" x14ac:dyDescent="0.35">
      <c r="O408" s="8"/>
    </row>
    <row r="409" spans="15:15" x14ac:dyDescent="0.35">
      <c r="O409" s="8"/>
    </row>
    <row r="410" spans="15:15" x14ac:dyDescent="0.35">
      <c r="O410" s="8"/>
    </row>
    <row r="411" spans="15:15" x14ac:dyDescent="0.35">
      <c r="O411" s="8"/>
    </row>
    <row r="412" spans="15:15" x14ac:dyDescent="0.35">
      <c r="O412" s="8"/>
    </row>
    <row r="413" spans="15:15" x14ac:dyDescent="0.35">
      <c r="O413" s="8"/>
    </row>
    <row r="414" spans="15:15" x14ac:dyDescent="0.35">
      <c r="O414" s="8"/>
    </row>
    <row r="415" spans="15:15" x14ac:dyDescent="0.35">
      <c r="O415" s="8"/>
    </row>
    <row r="416" spans="15:15" x14ac:dyDescent="0.35">
      <c r="O416" s="8"/>
    </row>
    <row r="417" spans="15:15" x14ac:dyDescent="0.35">
      <c r="O417" s="8"/>
    </row>
    <row r="418" spans="15:15" x14ac:dyDescent="0.35">
      <c r="O418" s="8"/>
    </row>
    <row r="419" spans="15:15" x14ac:dyDescent="0.35">
      <c r="O419" s="8"/>
    </row>
    <row r="420" spans="15:15" x14ac:dyDescent="0.35">
      <c r="O420" s="8"/>
    </row>
    <row r="421" spans="15:15" x14ac:dyDescent="0.35">
      <c r="O421" s="8"/>
    </row>
    <row r="422" spans="15:15" x14ac:dyDescent="0.35">
      <c r="O422" s="8"/>
    </row>
    <row r="423" spans="15:15" x14ac:dyDescent="0.35">
      <c r="O423" s="8"/>
    </row>
    <row r="424" spans="15:15" x14ac:dyDescent="0.35">
      <c r="O424" s="8"/>
    </row>
    <row r="425" spans="15:15" x14ac:dyDescent="0.35">
      <c r="O425" s="8"/>
    </row>
    <row r="426" spans="15:15" x14ac:dyDescent="0.35">
      <c r="O426" s="8"/>
    </row>
    <row r="427" spans="15:15" x14ac:dyDescent="0.35">
      <c r="O427" s="8"/>
    </row>
    <row r="428" spans="15:15" x14ac:dyDescent="0.35">
      <c r="O428" s="8"/>
    </row>
    <row r="429" spans="15:15" x14ac:dyDescent="0.35">
      <c r="O429" s="8"/>
    </row>
    <row r="430" spans="15:15" x14ac:dyDescent="0.35">
      <c r="O430" s="8"/>
    </row>
    <row r="431" spans="15:15" x14ac:dyDescent="0.35">
      <c r="O431" s="8"/>
    </row>
    <row r="432" spans="15:15" x14ac:dyDescent="0.35">
      <c r="O432" s="8"/>
    </row>
  </sheetData>
  <phoneticPr fontId="5" type="noConversion"/>
  <dataValidations count="1">
    <dataValidation type="list" allowBlank="1" showInputMessage="1" showErrorMessage="1" sqref="J25 R60 R48 R126 R113 R139 J39 R35 R20" xr:uid="{6B087888-AB8B-4706-A4CE-92A0425DD9C3}">
      <formula1>$AA$1:$AA$2</formula1>
    </dataValidation>
  </dataValidation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Factor Baseline Method</vt:lpstr>
      <vt:lpstr>Chart</vt:lpstr>
      <vt:lpstr>All Blended</vt:lpstr>
      <vt:lpstr>Bld-Sep Comparison</vt:lpstr>
      <vt:lpstr>Separate Sourcing</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Helen Hecht</dc:creator>
  <cp:keywords/>
  <dc:description/>
  <cp:lastModifiedBy>Helen Hecht</cp:lastModifiedBy>
  <cp:revision/>
  <dcterms:created xsi:type="dcterms:W3CDTF">2024-12-13T14:04:31Z</dcterms:created>
  <dcterms:modified xsi:type="dcterms:W3CDTF">2025-09-08T17:05:20Z</dcterms:modified>
  <cp:category/>
  <cp:contentStatus/>
</cp:coreProperties>
</file>